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udwinprod-my.sharepoint.com/personal/richj_udel_edu/Documents/FINC419 Valuation/Fall 2020/"/>
    </mc:Choice>
  </mc:AlternateContent>
  <bookViews>
    <workbookView xWindow="0" yWindow="0" windowWidth="28800" windowHeight="12300"/>
  </bookViews>
  <sheets>
    <sheet name="Mean" sheetId="3" r:id="rId1"/>
    <sheet name="Comps" sheetId="2" r:id="rId2"/>
    <sheet name="Time Series" sheetId="4" r:id="rId3"/>
  </sheets>
  <calcPr calcId="162913" iterate="1"/>
</workbook>
</file>

<file path=xl/calcChain.xml><?xml version="1.0" encoding="utf-8"?>
<calcChain xmlns="http://schemas.openxmlformats.org/spreadsheetml/2006/main">
  <c r="B16" i="4" l="1"/>
  <c r="B15" i="4"/>
  <c r="B14" i="4"/>
  <c r="B13" i="4"/>
  <c r="B4" i="4"/>
  <c r="B5" i="4"/>
  <c r="B6" i="4"/>
  <c r="B3" i="4"/>
  <c r="K38" i="2"/>
  <c r="I37" i="2"/>
  <c r="I38" i="2" s="1"/>
  <c r="N31" i="2" s="1"/>
  <c r="H37" i="2"/>
  <c r="H38" i="2" s="1"/>
  <c r="N30" i="2" s="1"/>
  <c r="J36" i="2"/>
  <c r="J37" i="2" s="1"/>
  <c r="J38" i="2" s="1"/>
  <c r="N32" i="2" s="1"/>
  <c r="I36" i="2"/>
  <c r="H36" i="2"/>
  <c r="F38" i="2"/>
  <c r="D36" i="2"/>
  <c r="E36" i="2"/>
  <c r="D37" i="2"/>
  <c r="E37" i="2"/>
  <c r="D38" i="2"/>
  <c r="N27" i="2" s="1"/>
  <c r="E38" i="2"/>
  <c r="N28" i="2" s="1"/>
  <c r="C38" i="2"/>
  <c r="C37" i="2"/>
  <c r="C36" i="2"/>
  <c r="K33" i="2"/>
  <c r="H32" i="2"/>
  <c r="H33" i="2" s="1"/>
  <c r="P30" i="2" s="1"/>
  <c r="J31" i="2"/>
  <c r="J32" i="2" s="1"/>
  <c r="J33" i="2" s="1"/>
  <c r="P32" i="2" s="1"/>
  <c r="I31" i="2"/>
  <c r="I32" i="2" s="1"/>
  <c r="I33" i="2" s="1"/>
  <c r="P31" i="2" s="1"/>
  <c r="H31" i="2"/>
  <c r="F33" i="2"/>
  <c r="P29" i="2" s="1"/>
  <c r="D31" i="2"/>
  <c r="D32" i="2" s="1"/>
  <c r="D33" i="2" s="1"/>
  <c r="P27" i="2" s="1"/>
  <c r="E31" i="2"/>
  <c r="E32" i="2" s="1"/>
  <c r="E33" i="2" s="1"/>
  <c r="P28" i="2" s="1"/>
  <c r="C33" i="2"/>
  <c r="P26" i="2" s="1"/>
  <c r="C32" i="2"/>
  <c r="C31" i="2"/>
  <c r="K28" i="2"/>
  <c r="I27" i="2"/>
  <c r="I28" i="2" s="1"/>
  <c r="Q31" i="2" s="1"/>
  <c r="H27" i="2"/>
  <c r="H28" i="2" s="1"/>
  <c r="Q30" i="2" s="1"/>
  <c r="J26" i="2"/>
  <c r="J27" i="2" s="1"/>
  <c r="J28" i="2" s="1"/>
  <c r="Q32" i="2" s="1"/>
  <c r="I26" i="2"/>
  <c r="H26" i="2"/>
  <c r="F28" i="2"/>
  <c r="D26" i="2"/>
  <c r="D27" i="2" s="1"/>
  <c r="D28" i="2" s="1"/>
  <c r="Q27" i="2" s="1"/>
  <c r="E26" i="2"/>
  <c r="E27" i="2" s="1"/>
  <c r="E28" i="2" s="1"/>
  <c r="Q28" i="2" s="1"/>
  <c r="C28" i="2"/>
  <c r="C27" i="2"/>
  <c r="C26" i="2"/>
  <c r="D19" i="2"/>
  <c r="E19" i="2"/>
  <c r="F19" i="2"/>
  <c r="H19" i="2"/>
  <c r="I19" i="2"/>
  <c r="J19" i="2"/>
  <c r="K19" i="2"/>
  <c r="D20" i="2"/>
  <c r="E20" i="2"/>
  <c r="F20" i="2"/>
  <c r="H20" i="2"/>
  <c r="I20" i="2"/>
  <c r="J20" i="2"/>
  <c r="K20" i="2"/>
  <c r="D21" i="2"/>
  <c r="E21" i="2"/>
  <c r="F21" i="2"/>
  <c r="H21" i="2"/>
  <c r="I21" i="2"/>
  <c r="J21" i="2"/>
  <c r="K21" i="2"/>
  <c r="D22" i="2"/>
  <c r="E22" i="2"/>
  <c r="F22" i="2"/>
  <c r="H22" i="2"/>
  <c r="I22" i="2"/>
  <c r="J22" i="2"/>
  <c r="K22" i="2"/>
  <c r="D23" i="2"/>
  <c r="E23" i="2"/>
  <c r="F23" i="2"/>
  <c r="H23" i="2"/>
  <c r="I23" i="2"/>
  <c r="J23" i="2"/>
  <c r="K23" i="2"/>
  <c r="C23" i="2"/>
  <c r="C22" i="2"/>
  <c r="C21" i="2"/>
  <c r="C20" i="2"/>
  <c r="C19" i="2"/>
  <c r="I5" i="3"/>
  <c r="I4" i="3"/>
  <c r="I3" i="3"/>
  <c r="I2" i="3"/>
  <c r="H5" i="3"/>
  <c r="E30" i="3"/>
  <c r="E4" i="3"/>
  <c r="E5" i="3"/>
  <c r="E6" i="3"/>
  <c r="E7" i="3"/>
  <c r="E8" i="3"/>
  <c r="E9" i="3"/>
  <c r="E10" i="3"/>
  <c r="E11" i="3"/>
  <c r="E31" i="3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" i="3"/>
  <c r="C3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" i="3"/>
  <c r="H3" i="3"/>
  <c r="H2" i="3"/>
  <c r="Q34" i="2"/>
  <c r="G10" i="4"/>
  <c r="I10" i="4" s="1"/>
  <c r="Q33" i="2"/>
  <c r="N33" i="2"/>
  <c r="Q26" i="2"/>
  <c r="Q29" i="2"/>
  <c r="P33" i="2"/>
  <c r="N26" i="2"/>
  <c r="N29" i="2"/>
  <c r="O34" i="2"/>
  <c r="M3" i="2"/>
  <c r="O3" i="2" s="1"/>
  <c r="O31" i="2" l="1"/>
  <c r="O33" i="2"/>
  <c r="O32" i="2"/>
  <c r="O26" i="2"/>
  <c r="O30" i="2"/>
  <c r="O28" i="2"/>
  <c r="O27" i="2"/>
  <c r="O29" i="2"/>
</calcChain>
</file>

<file path=xl/sharedStrings.xml><?xml version="1.0" encoding="utf-8"?>
<sst xmlns="http://schemas.openxmlformats.org/spreadsheetml/2006/main" count="200" uniqueCount="106">
  <si>
    <t>Enterprise</t>
  </si>
  <si>
    <t>EV/</t>
  </si>
  <si>
    <t xml:space="preserve">Price to </t>
  </si>
  <si>
    <t>Price to</t>
  </si>
  <si>
    <t>Earnings</t>
  </si>
  <si>
    <t>Company</t>
  </si>
  <si>
    <t>Value/</t>
  </si>
  <si>
    <t>EBITDA</t>
  </si>
  <si>
    <t>EBIT</t>
  </si>
  <si>
    <t>SALES</t>
  </si>
  <si>
    <t>Sales</t>
  </si>
  <si>
    <t>Market</t>
  </si>
  <si>
    <t>Name</t>
  </si>
  <si>
    <t>NTM</t>
  </si>
  <si>
    <t>Actual</t>
  </si>
  <si>
    <t>Value</t>
  </si>
  <si>
    <t xml:space="preserve">McCormick </t>
  </si>
  <si>
    <t xml:space="preserve">Hormel Foods </t>
  </si>
  <si>
    <t xml:space="preserve">Kellogg </t>
  </si>
  <si>
    <t xml:space="preserve">Hershey </t>
  </si>
  <si>
    <t>Inner Mongolia Yili Indl A</t>
  </si>
  <si>
    <t>-</t>
  </si>
  <si>
    <t>Tyson Foods A</t>
  </si>
  <si>
    <t xml:space="preserve">Nestle India </t>
  </si>
  <si>
    <t>Chocoladefabriken Lindt &amp; Spruengli</t>
  </si>
  <si>
    <t>Conagra Brands</t>
  </si>
  <si>
    <t xml:space="preserve">China Mengniu Dairy </t>
  </si>
  <si>
    <t xml:space="preserve">Campbell Soup </t>
  </si>
  <si>
    <t xml:space="preserve">General Mills </t>
  </si>
  <si>
    <t>Yihai International Hldg</t>
  </si>
  <si>
    <t>Almarai</t>
  </si>
  <si>
    <t>J.M. Smucker</t>
  </si>
  <si>
    <t xml:space="preserve">Kent Gida Maddeleri </t>
  </si>
  <si>
    <t>WH Group</t>
  </si>
  <si>
    <t xml:space="preserve">Britannia Industries </t>
  </si>
  <si>
    <t xml:space="preserve">Barry Callebaut </t>
  </si>
  <si>
    <t>Kraft Heinz</t>
  </si>
  <si>
    <t>Meiji Holdings</t>
  </si>
  <si>
    <t>Danone</t>
  </si>
  <si>
    <t>JBS</t>
  </si>
  <si>
    <t>Nissin Foods</t>
  </si>
  <si>
    <t xml:space="preserve">Saputo </t>
  </si>
  <si>
    <t xml:space="preserve">Kikkoman </t>
  </si>
  <si>
    <t xml:space="preserve">Ajinomoto </t>
  </si>
  <si>
    <t xml:space="preserve">Orkla </t>
  </si>
  <si>
    <t>A2 Milk</t>
  </si>
  <si>
    <t>EPS</t>
  </si>
  <si>
    <t>Net</t>
  </si>
  <si>
    <t>Outstanding</t>
  </si>
  <si>
    <t>Debt</t>
  </si>
  <si>
    <t>Average</t>
  </si>
  <si>
    <t>Median</t>
  </si>
  <si>
    <t>Harmonic Mean</t>
  </si>
  <si>
    <t>High</t>
  </si>
  <si>
    <t>Low</t>
  </si>
  <si>
    <t>Enterprise value</t>
  </si>
  <si>
    <t>Equity value</t>
  </si>
  <si>
    <t>Share price</t>
  </si>
  <si>
    <t>Dil. Shares</t>
  </si>
  <si>
    <t>EV/EBITDA</t>
  </si>
  <si>
    <t>EV/EBIT</t>
  </si>
  <si>
    <t>EV/Sales</t>
  </si>
  <si>
    <t>PE</t>
  </si>
  <si>
    <t>EV/EBITDA NTM</t>
  </si>
  <si>
    <t>EV/EBIT NTM</t>
  </si>
  <si>
    <t>EV/Sales NTM</t>
  </si>
  <si>
    <t>PE NTM</t>
  </si>
  <si>
    <t>Range</t>
  </si>
  <si>
    <t>Har. Mean</t>
  </si>
  <si>
    <t>52 week price</t>
  </si>
  <si>
    <t>Benchmark PE Ratio</t>
  </si>
  <si>
    <t>Forcasted Price</t>
  </si>
  <si>
    <t>Weighted</t>
  </si>
  <si>
    <t>Harmonic Ave</t>
  </si>
  <si>
    <t>Weighted Harmonic</t>
  </si>
  <si>
    <t>McCormick Stock Price =</t>
  </si>
  <si>
    <t>McCormick EPS =</t>
  </si>
  <si>
    <t>Comps Source: SIC Code</t>
  </si>
  <si>
    <t>MAY '20</t>
  </si>
  <si>
    <t>FEB '20</t>
  </si>
  <si>
    <t>NOV '19</t>
  </si>
  <si>
    <t>AUG '19</t>
  </si>
  <si>
    <t>MAY '19</t>
  </si>
  <si>
    <t>FEB '19</t>
  </si>
  <si>
    <t>NOV '18</t>
  </si>
  <si>
    <t>AUG '18</t>
  </si>
  <si>
    <t>MAY '18</t>
  </si>
  <si>
    <t>FEB '18</t>
  </si>
  <si>
    <t>NOV '17</t>
  </si>
  <si>
    <t>AUG '17</t>
  </si>
  <si>
    <t>MAY '17</t>
  </si>
  <si>
    <t>FEB '17</t>
  </si>
  <si>
    <t>NOV '16</t>
  </si>
  <si>
    <t>AUG '16</t>
  </si>
  <si>
    <t>MAY '16</t>
  </si>
  <si>
    <t>FEB '16</t>
  </si>
  <si>
    <t>NOV '15</t>
  </si>
  <si>
    <t>AUG '15</t>
  </si>
  <si>
    <t>LTM</t>
  </si>
  <si>
    <t>Enterprise Value/EBITDA</t>
  </si>
  <si>
    <t>Enterprise Value/EBIT</t>
  </si>
  <si>
    <t>Enterprise Value/Sales</t>
  </si>
  <si>
    <t>Price/Earnings</t>
  </si>
  <si>
    <t>Mean</t>
  </si>
  <si>
    <t>Stock Price</t>
  </si>
  <si>
    <t>Invert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</si>
</sst>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#,##0.0"/>
    <numFmt numFmtId="165" formatCode="#,##0.00\x"/>
    <numFmt numFmtId="169" formatCode="0.00\x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165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4" fontId="0" fillId="3" borderId="4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2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169" fontId="2" fillId="3" borderId="0" xfId="1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4" borderId="0" xfId="1" applyFont="1" applyFill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Comps!$N$25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Comps!$M$26:$M$34</c:f>
              <c:strCache>
                <c:ptCount val="9"/>
                <c:pt idx="0">
                  <c:v>EV/EBITDA</c:v>
                </c:pt>
                <c:pt idx="1">
                  <c:v>EV/EBIT</c:v>
                </c:pt>
                <c:pt idx="2">
                  <c:v>EV/Sales</c:v>
                </c:pt>
                <c:pt idx="3">
                  <c:v>PE</c:v>
                </c:pt>
                <c:pt idx="4">
                  <c:v>EV/EBITDA NTM</c:v>
                </c:pt>
                <c:pt idx="5">
                  <c:v>EV/EBIT NTM</c:v>
                </c:pt>
                <c:pt idx="6">
                  <c:v>EV/Sales NTM</c:v>
                </c:pt>
                <c:pt idx="7">
                  <c:v>PE NTM</c:v>
                </c:pt>
                <c:pt idx="8">
                  <c:v>52 week price</c:v>
                </c:pt>
              </c:strCache>
            </c:strRef>
          </c:cat>
          <c:val>
            <c:numRef>
              <c:f>Comps!$N$26:$N$34</c:f>
              <c:numCache>
                <c:formatCode>0.00</c:formatCode>
                <c:ptCount val="9"/>
                <c:pt idx="0">
                  <c:v>57.11995591958302</c:v>
                </c:pt>
                <c:pt idx="1">
                  <c:v>69.050803797468348</c:v>
                </c:pt>
                <c:pt idx="2">
                  <c:v>58.886562993298583</c:v>
                </c:pt>
                <c:pt idx="3">
                  <c:v>89.602235384534012</c:v>
                </c:pt>
                <c:pt idx="4">
                  <c:v>65.53296749813849</c:v>
                </c:pt>
                <c:pt idx="5">
                  <c:v>64.541195532390162</c:v>
                </c:pt>
                <c:pt idx="6">
                  <c:v>52.860190270290389</c:v>
                </c:pt>
                <c:pt idx="7">
                  <c:v>78.974873207999991</c:v>
                </c:pt>
                <c:pt idx="8" formatCode="General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C-4893-8B10-BEBAE5CD693A}"/>
            </c:ext>
          </c:extLst>
        </c:ser>
        <c:ser>
          <c:idx val="1"/>
          <c:order val="1"/>
          <c:tx>
            <c:strRef>
              <c:f>Comps!$O$25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Comps!$M$26:$M$34</c:f>
              <c:strCache>
                <c:ptCount val="9"/>
                <c:pt idx="0">
                  <c:v>EV/EBITDA</c:v>
                </c:pt>
                <c:pt idx="1">
                  <c:v>EV/EBIT</c:v>
                </c:pt>
                <c:pt idx="2">
                  <c:v>EV/Sales</c:v>
                </c:pt>
                <c:pt idx="3">
                  <c:v>PE</c:v>
                </c:pt>
                <c:pt idx="4">
                  <c:v>EV/EBITDA NTM</c:v>
                </c:pt>
                <c:pt idx="5">
                  <c:v>EV/EBIT NTM</c:v>
                </c:pt>
                <c:pt idx="6">
                  <c:v>EV/Sales NTM</c:v>
                </c:pt>
                <c:pt idx="7">
                  <c:v>PE NTM</c:v>
                </c:pt>
                <c:pt idx="8">
                  <c:v>52 week price</c:v>
                </c:pt>
              </c:strCache>
            </c:strRef>
          </c:cat>
          <c:val>
            <c:numRef>
              <c:f>Comps!$O$26:$O$34</c:f>
              <c:numCache>
                <c:formatCode>0.00</c:formatCode>
                <c:ptCount val="9"/>
                <c:pt idx="0">
                  <c:v>146.87587594936707</c:v>
                </c:pt>
                <c:pt idx="1">
                  <c:v>134.94480379746835</c:v>
                </c:pt>
                <c:pt idx="2">
                  <c:v>145.10885419955324</c:v>
                </c:pt>
                <c:pt idx="3">
                  <c:v>115.89776461546599</c:v>
                </c:pt>
                <c:pt idx="4">
                  <c:v>132.71880424422937</c:v>
                </c:pt>
                <c:pt idx="5">
                  <c:v>133.71149441548772</c:v>
                </c:pt>
                <c:pt idx="6">
                  <c:v>145.39169304095313</c:v>
                </c:pt>
                <c:pt idx="7">
                  <c:v>126.525005376</c:v>
                </c:pt>
                <c:pt idx="8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C-4893-8B10-BEBAE5CD693A}"/>
            </c:ext>
          </c:extLst>
        </c:ser>
        <c:ser>
          <c:idx val="2"/>
          <c:order val="2"/>
          <c:tx>
            <c:strRef>
              <c:f>Comps!$P$25</c:f>
              <c:strCache>
                <c:ptCount val="1"/>
                <c:pt idx="0">
                  <c:v>High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Comps!$M$26:$M$34</c:f>
              <c:strCache>
                <c:ptCount val="9"/>
                <c:pt idx="0">
                  <c:v>EV/EBITDA</c:v>
                </c:pt>
                <c:pt idx="1">
                  <c:v>EV/EBIT</c:v>
                </c:pt>
                <c:pt idx="2">
                  <c:v>EV/Sales</c:v>
                </c:pt>
                <c:pt idx="3">
                  <c:v>PE</c:v>
                </c:pt>
                <c:pt idx="4">
                  <c:v>EV/EBITDA NTM</c:v>
                </c:pt>
                <c:pt idx="5">
                  <c:v>EV/EBIT NTM</c:v>
                </c:pt>
                <c:pt idx="6">
                  <c:v>EV/Sales NTM</c:v>
                </c:pt>
                <c:pt idx="7">
                  <c:v>PE NTM</c:v>
                </c:pt>
                <c:pt idx="8">
                  <c:v>52 week price</c:v>
                </c:pt>
              </c:strCache>
            </c:strRef>
          </c:cat>
          <c:val>
            <c:numRef>
              <c:f>Comps!$P$26:$P$34</c:f>
              <c:numCache>
                <c:formatCode>0.00</c:formatCode>
                <c:ptCount val="9"/>
                <c:pt idx="0">
                  <c:v>203.99583186895009</c:v>
                </c:pt>
                <c:pt idx="1">
                  <c:v>203.9956075949367</c:v>
                </c:pt>
                <c:pt idx="2">
                  <c:v>203.99541719285182</c:v>
                </c:pt>
                <c:pt idx="3" formatCode="General">
                  <c:v>205.5</c:v>
                </c:pt>
                <c:pt idx="4">
                  <c:v>198.25177174236785</c:v>
                </c:pt>
                <c:pt idx="5">
                  <c:v>198.25268994787788</c:v>
                </c:pt>
                <c:pt idx="6">
                  <c:v>198.25188331124352</c:v>
                </c:pt>
                <c:pt idx="7">
                  <c:v>205.49987858399999</c:v>
                </c:pt>
                <c:pt idx="8" formatCode="General">
                  <c:v>206.6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C-4893-8B10-BEBAE5CD6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99996528"/>
        <c:axId val="1699988624"/>
      </c:barChart>
      <c:lineChart>
        <c:grouping val="standard"/>
        <c:varyColors val="0"/>
        <c:ser>
          <c:idx val="3"/>
          <c:order val="3"/>
          <c:tx>
            <c:strRef>
              <c:f>Comps!$Q$25</c:f>
              <c:strCache>
                <c:ptCount val="1"/>
                <c:pt idx="0">
                  <c:v>Har. 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Comps!$M$26:$M$34</c:f>
              <c:strCache>
                <c:ptCount val="9"/>
                <c:pt idx="0">
                  <c:v>EV/EBITDA</c:v>
                </c:pt>
                <c:pt idx="1">
                  <c:v>EV/EBIT</c:v>
                </c:pt>
                <c:pt idx="2">
                  <c:v>EV/Sales</c:v>
                </c:pt>
                <c:pt idx="3">
                  <c:v>PE</c:v>
                </c:pt>
                <c:pt idx="4">
                  <c:v>EV/EBITDA NTM</c:v>
                </c:pt>
                <c:pt idx="5">
                  <c:v>EV/EBIT NTM</c:v>
                </c:pt>
                <c:pt idx="6">
                  <c:v>EV/Sales NTM</c:v>
                </c:pt>
                <c:pt idx="7">
                  <c:v>PE NTM</c:v>
                </c:pt>
                <c:pt idx="8">
                  <c:v>52 week price</c:v>
                </c:pt>
              </c:strCache>
            </c:strRef>
          </c:cat>
          <c:val>
            <c:numRef>
              <c:f>Comps!$Q$26:$Q$34</c:f>
              <c:numCache>
                <c:formatCode>0.00</c:formatCode>
                <c:ptCount val="9"/>
                <c:pt idx="0">
                  <c:v>92.859495632417051</c:v>
                </c:pt>
                <c:pt idx="1">
                  <c:v>100.68443789221588</c:v>
                </c:pt>
                <c:pt idx="2">
                  <c:v>83.732528705575803</c:v>
                </c:pt>
                <c:pt idx="3">
                  <c:v>130.40473270307484</c:v>
                </c:pt>
                <c:pt idx="4">
                  <c:v>91.434694360439067</c:v>
                </c:pt>
                <c:pt idx="5">
                  <c:v>95.817166325612234</c:v>
                </c:pt>
                <c:pt idx="6">
                  <c:v>82.777119392578001</c:v>
                </c:pt>
                <c:pt idx="7">
                  <c:v>105.43475559563613</c:v>
                </c:pt>
                <c:pt idx="8" formatCode="General">
                  <c:v>206.5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C-4893-8B10-BEBAE5CD6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996528"/>
        <c:axId val="1699988624"/>
      </c:lineChart>
      <c:catAx>
        <c:axId val="16999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988624"/>
        <c:crosses val="autoZero"/>
        <c:auto val="1"/>
        <c:lblAlgn val="ctr"/>
        <c:lblOffset val="100"/>
        <c:noMultiLvlLbl val="0"/>
      </c:catAx>
      <c:valAx>
        <c:axId val="169998862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99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</xdr:row>
      <xdr:rowOff>95251</xdr:rowOff>
    </xdr:from>
    <xdr:to>
      <xdr:col>20</xdr:col>
      <xdr:colOff>85725</xdr:colOff>
      <xdr:row>24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140" zoomScaleNormal="140" workbookViewId="0">
      <selection activeCell="A2" sqref="A2"/>
    </sheetView>
  </sheetViews>
  <sheetFormatPr defaultRowHeight="12.75" x14ac:dyDescent="0.2"/>
  <cols>
    <col min="1" max="1" width="36.7109375" customWidth="1"/>
    <col min="2" max="2" width="9.140625" customWidth="1"/>
    <col min="3" max="3" width="9.5703125" bestFit="1" customWidth="1"/>
    <col min="4" max="4" width="11.28515625" customWidth="1"/>
    <col min="7" max="7" width="21.5703125" customWidth="1"/>
    <col min="8" max="8" width="18.7109375" bestFit="1" customWidth="1"/>
    <col min="9" max="9" width="14.5703125" bestFit="1" customWidth="1"/>
  </cols>
  <sheetData>
    <row r="1" spans="1:9" x14ac:dyDescent="0.2">
      <c r="A1" s="1" t="s">
        <v>5</v>
      </c>
      <c r="B1" s="1" t="s">
        <v>2</v>
      </c>
      <c r="C1" s="1" t="s">
        <v>11</v>
      </c>
      <c r="H1" s="8" t="s">
        <v>70</v>
      </c>
      <c r="I1" t="s">
        <v>71</v>
      </c>
    </row>
    <row r="2" spans="1:9" x14ac:dyDescent="0.2">
      <c r="A2" s="1" t="s">
        <v>12</v>
      </c>
      <c r="B2" s="1" t="s">
        <v>4</v>
      </c>
      <c r="C2" s="1" t="s">
        <v>15</v>
      </c>
      <c r="D2" s="1" t="s">
        <v>105</v>
      </c>
      <c r="E2" s="1" t="s">
        <v>72</v>
      </c>
      <c r="G2" s="1" t="s">
        <v>50</v>
      </c>
      <c r="H2" s="16">
        <f>+AVERAGE(B3:B30)</f>
        <v>43.657826024591451</v>
      </c>
      <c r="I2" s="22">
        <f>+H2*H8</f>
        <v>242.73751269672846</v>
      </c>
    </row>
    <row r="3" spans="1:9" x14ac:dyDescent="0.2">
      <c r="A3" s="2" t="s">
        <v>16</v>
      </c>
      <c r="B3" s="3">
        <v>36.993699369936998</v>
      </c>
      <c r="C3" s="4">
        <v>27384.2</v>
      </c>
      <c r="D3">
        <f>1/B3</f>
        <v>2.70316301703163E-2</v>
      </c>
      <c r="E3">
        <f>+D3*(C3/$C$31)</f>
        <v>1.4132327431731031E-3</v>
      </c>
      <c r="G3" s="1" t="s">
        <v>51</v>
      </c>
      <c r="H3" s="16">
        <f>+MEDIAN(B3:B30)</f>
        <v>30.470733054593651</v>
      </c>
      <c r="I3" s="22">
        <f>+H3*H8</f>
        <v>169.4172757835407</v>
      </c>
    </row>
    <row r="4" spans="1:9" x14ac:dyDescent="0.2">
      <c r="A4" s="5" t="s">
        <v>17</v>
      </c>
      <c r="B4" s="6">
        <v>30.0005884776084</v>
      </c>
      <c r="C4" s="7">
        <v>27475.8</v>
      </c>
      <c r="D4">
        <f t="shared" ref="D4:D31" si="0">1/B4</f>
        <v>3.3332679482149893E-2</v>
      </c>
      <c r="E4">
        <f t="shared" ref="E4:E29" si="1">+D4*(C4/$C$31)</f>
        <v>1.7484852325848354E-3</v>
      </c>
      <c r="G4" s="1" t="s">
        <v>73</v>
      </c>
      <c r="H4" s="23">
        <v>27.51</v>
      </c>
      <c r="I4" s="22">
        <f>+H4*H8</f>
        <v>152.9556</v>
      </c>
    </row>
    <row r="5" spans="1:9" x14ac:dyDescent="0.2">
      <c r="A5" s="2" t="s">
        <v>18</v>
      </c>
      <c r="B5" s="3">
        <v>22.1941912900886</v>
      </c>
      <c r="C5" s="4">
        <v>24134.7</v>
      </c>
      <c r="D5">
        <f t="shared" si="0"/>
        <v>4.50568343279341E-2</v>
      </c>
      <c r="E5">
        <f t="shared" si="1"/>
        <v>2.0760794800971185E-3</v>
      </c>
      <c r="G5" s="1" t="s">
        <v>74</v>
      </c>
      <c r="H5" s="23">
        <f>1/E31</f>
        <v>26.402871447065301</v>
      </c>
      <c r="I5" s="22">
        <f>+H5*H8</f>
        <v>146.79996524568307</v>
      </c>
    </row>
    <row r="6" spans="1:9" x14ac:dyDescent="0.2">
      <c r="A6" s="5" t="s">
        <v>19</v>
      </c>
      <c r="B6" s="6">
        <v>29.243951217599299</v>
      </c>
      <c r="C6" s="7">
        <v>31026.6</v>
      </c>
      <c r="D6">
        <f t="shared" si="0"/>
        <v>3.4195105598390896E-2</v>
      </c>
      <c r="E6">
        <f t="shared" si="1"/>
        <v>2.0255339739334828E-3</v>
      </c>
      <c r="H6" s="8"/>
    </row>
    <row r="7" spans="1:9" x14ac:dyDescent="0.2">
      <c r="A7" s="2" t="s">
        <v>20</v>
      </c>
      <c r="B7" s="3">
        <v>37.553506502890201</v>
      </c>
      <c r="C7" s="4">
        <v>31616.9</v>
      </c>
      <c r="D7">
        <f t="shared" si="0"/>
        <v>2.6628671810528207E-2</v>
      </c>
      <c r="E7">
        <f t="shared" si="1"/>
        <v>1.6073490088517619E-3</v>
      </c>
      <c r="G7" s="24" t="s">
        <v>75</v>
      </c>
      <c r="H7" s="22">
        <v>205.5</v>
      </c>
    </row>
    <row r="8" spans="1:9" x14ac:dyDescent="0.2">
      <c r="A8" s="5" t="s">
        <v>22</v>
      </c>
      <c r="B8" s="6">
        <v>12.953473654124901</v>
      </c>
      <c r="C8" s="7">
        <v>22668.2</v>
      </c>
      <c r="D8">
        <f t="shared" si="0"/>
        <v>7.7199369582348298E-2</v>
      </c>
      <c r="E8">
        <f t="shared" si="1"/>
        <v>3.3409669969498516E-3</v>
      </c>
      <c r="G8" s="24" t="s">
        <v>76</v>
      </c>
      <c r="H8" s="22">
        <v>5.56</v>
      </c>
    </row>
    <row r="9" spans="1:9" x14ac:dyDescent="0.2">
      <c r="A9" s="2" t="s">
        <v>23</v>
      </c>
      <c r="B9" s="3">
        <v>73.168211431258001</v>
      </c>
      <c r="C9" s="4">
        <v>21007.1</v>
      </c>
      <c r="D9">
        <f t="shared" si="0"/>
        <v>1.3667137414442697E-2</v>
      </c>
      <c r="E9">
        <f t="shared" si="1"/>
        <v>5.481318773479188E-4</v>
      </c>
    </row>
    <row r="10" spans="1:9" x14ac:dyDescent="0.2">
      <c r="A10" s="5" t="s">
        <v>24</v>
      </c>
      <c r="B10" s="6">
        <v>46.7404878363308</v>
      </c>
      <c r="C10" s="7">
        <v>20943.8</v>
      </c>
      <c r="D10">
        <f t="shared" si="0"/>
        <v>2.1394727489829759E-2</v>
      </c>
      <c r="E10">
        <f t="shared" si="1"/>
        <v>8.5546774062317873E-4</v>
      </c>
    </row>
    <row r="11" spans="1:9" x14ac:dyDescent="0.2">
      <c r="A11" s="5" t="s">
        <v>25</v>
      </c>
      <c r="B11" s="6">
        <v>22.522679692951801</v>
      </c>
      <c r="C11" s="7">
        <v>18918.8</v>
      </c>
      <c r="D11">
        <f t="shared" si="0"/>
        <v>4.43996901626647E-2</v>
      </c>
      <c r="E11">
        <f t="shared" si="1"/>
        <v>1.6036696921431128E-3</v>
      </c>
    </row>
    <row r="12" spans="1:9" x14ac:dyDescent="0.2">
      <c r="A12" s="2" t="s">
        <v>26</v>
      </c>
      <c r="B12" s="3">
        <v>30.9408776315789</v>
      </c>
      <c r="C12" s="4">
        <v>18555.099999999999</v>
      </c>
      <c r="D12">
        <f t="shared" si="0"/>
        <v>3.2319703788213791E-2</v>
      </c>
      <c r="E12">
        <f t="shared" si="1"/>
        <v>1.1449118938116137E-3</v>
      </c>
    </row>
    <row r="13" spans="1:9" x14ac:dyDescent="0.2">
      <c r="A13" s="2" t="s">
        <v>27</v>
      </c>
      <c r="B13" s="3">
        <v>29.905496840574799</v>
      </c>
      <c r="C13" s="4">
        <v>16159.8</v>
      </c>
      <c r="D13">
        <f t="shared" si="0"/>
        <v>3.3438668661181808E-2</v>
      </c>
      <c r="E13">
        <f t="shared" si="1"/>
        <v>1.0316356829390817E-3</v>
      </c>
    </row>
    <row r="14" spans="1:9" x14ac:dyDescent="0.2">
      <c r="A14" s="5" t="s">
        <v>28</v>
      </c>
      <c r="B14" s="6">
        <v>18.065513847884201</v>
      </c>
      <c r="C14" s="7">
        <v>39251.5</v>
      </c>
      <c r="D14">
        <f t="shared" si="0"/>
        <v>5.5354085603112703E-2</v>
      </c>
      <c r="E14">
        <f t="shared" si="1"/>
        <v>4.1480820191144661E-3</v>
      </c>
    </row>
    <row r="15" spans="1:9" x14ac:dyDescent="0.2">
      <c r="A15" s="2" t="s">
        <v>29</v>
      </c>
      <c r="B15" s="3">
        <v>140.94405278039599</v>
      </c>
      <c r="C15" s="4">
        <v>15655.5</v>
      </c>
      <c r="D15">
        <f t="shared" si="0"/>
        <v>7.095013803513182E-3</v>
      </c>
      <c r="E15">
        <f t="shared" si="1"/>
        <v>2.1206137997512069E-4</v>
      </c>
    </row>
    <row r="16" spans="1:9" x14ac:dyDescent="0.2">
      <c r="A16" s="5" t="s">
        <v>30</v>
      </c>
      <c r="B16" s="6">
        <v>28.045551916779001</v>
      </c>
      <c r="C16" s="7">
        <v>14558.4</v>
      </c>
      <c r="D16">
        <f t="shared" si="0"/>
        <v>3.5656278149467376E-2</v>
      </c>
      <c r="E16">
        <f t="shared" si="1"/>
        <v>9.9103970093761089E-4</v>
      </c>
    </row>
    <row r="17" spans="1:5" x14ac:dyDescent="0.2">
      <c r="A17" s="2" t="s">
        <v>31</v>
      </c>
      <c r="B17" s="3">
        <v>16.130015370753199</v>
      </c>
      <c r="C17" s="4">
        <v>13890.3</v>
      </c>
      <c r="D17">
        <f t="shared" si="0"/>
        <v>6.1996221145157189E-2</v>
      </c>
      <c r="E17">
        <f t="shared" si="1"/>
        <v>1.6440621854321073E-3</v>
      </c>
    </row>
    <row r="18" spans="1:5" x14ac:dyDescent="0.2">
      <c r="A18" s="5" t="s">
        <v>32</v>
      </c>
      <c r="B18" s="6">
        <v>97.377672778561305</v>
      </c>
      <c r="C18" s="7">
        <v>12151.2</v>
      </c>
      <c r="D18">
        <f t="shared" si="0"/>
        <v>1.0269294505261171E-2</v>
      </c>
      <c r="E18">
        <f t="shared" si="1"/>
        <v>2.3823259088423025E-4</v>
      </c>
    </row>
    <row r="19" spans="1:5" x14ac:dyDescent="0.2">
      <c r="A19" s="2" t="s">
        <v>33</v>
      </c>
      <c r="B19" s="3">
        <v>8.6665345381526109</v>
      </c>
      <c r="C19" s="4">
        <v>12717.2</v>
      </c>
      <c r="D19">
        <f t="shared" si="0"/>
        <v>0.11538637451887009</v>
      </c>
      <c r="E19">
        <f t="shared" si="1"/>
        <v>2.8014793476990344E-3</v>
      </c>
    </row>
    <row r="20" spans="1:5" x14ac:dyDescent="0.2">
      <c r="A20" s="5" t="s">
        <v>34</v>
      </c>
      <c r="B20" s="6">
        <v>52.897341408335002</v>
      </c>
      <c r="C20" s="7">
        <v>12405.2</v>
      </c>
      <c r="D20">
        <f t="shared" si="0"/>
        <v>1.8904541766676209E-2</v>
      </c>
      <c r="E20">
        <f t="shared" si="1"/>
        <v>4.4772497540763149E-4</v>
      </c>
    </row>
    <row r="21" spans="1:5" x14ac:dyDescent="0.2">
      <c r="A21" s="2" t="s">
        <v>35</v>
      </c>
      <c r="B21" s="3">
        <v>31.596848951439199</v>
      </c>
      <c r="C21" s="4">
        <v>12119.6</v>
      </c>
      <c r="D21">
        <f t="shared" si="0"/>
        <v>3.1648725527564078E-2</v>
      </c>
      <c r="E21">
        <f t="shared" si="1"/>
        <v>7.3229472942548137E-4</v>
      </c>
    </row>
    <row r="22" spans="1:5" x14ac:dyDescent="0.2">
      <c r="A22" s="2" t="s">
        <v>37</v>
      </c>
      <c r="B22" s="3">
        <v>19.292762437486701</v>
      </c>
      <c r="C22" s="4">
        <v>12428.1</v>
      </c>
      <c r="D22">
        <f t="shared" si="0"/>
        <v>5.1832909011358334E-2</v>
      </c>
      <c r="E22">
        <f t="shared" si="1"/>
        <v>1.2298487906214446E-3</v>
      </c>
    </row>
    <row r="23" spans="1:5" x14ac:dyDescent="0.2">
      <c r="A23" s="5" t="s">
        <v>38</v>
      </c>
      <c r="B23" s="6">
        <v>20.585276590472599</v>
      </c>
      <c r="C23" s="7">
        <v>45634.5</v>
      </c>
      <c r="D23">
        <f t="shared" si="0"/>
        <v>4.8578409700009859E-2</v>
      </c>
      <c r="E23">
        <f t="shared" si="1"/>
        <v>4.2323150209868732E-3</v>
      </c>
    </row>
    <row r="24" spans="1:5" x14ac:dyDescent="0.2">
      <c r="A24" s="2" t="s">
        <v>39</v>
      </c>
      <c r="B24" s="3">
        <v>209.59057141289099</v>
      </c>
      <c r="C24" s="4">
        <v>11199.9</v>
      </c>
      <c r="D24">
        <f t="shared" si="0"/>
        <v>4.7712069930379245E-3</v>
      </c>
      <c r="E24">
        <f t="shared" si="1"/>
        <v>1.0201964296402917E-4</v>
      </c>
    </row>
    <row r="25" spans="1:5" x14ac:dyDescent="0.2">
      <c r="A25" s="5" t="s">
        <v>40</v>
      </c>
      <c r="B25" s="6">
        <v>31.737350540899602</v>
      </c>
      <c r="C25" s="7">
        <v>10605.4</v>
      </c>
      <c r="D25">
        <f t="shared" si="0"/>
        <v>3.150861628198328E-2</v>
      </c>
      <c r="E25">
        <f t="shared" si="1"/>
        <v>6.3796636238529377E-4</v>
      </c>
    </row>
    <row r="26" spans="1:5" x14ac:dyDescent="0.2">
      <c r="A26" s="2" t="s">
        <v>41</v>
      </c>
      <c r="B26" s="3">
        <v>23.078067098399</v>
      </c>
      <c r="C26" s="4">
        <v>10469.1</v>
      </c>
      <c r="D26">
        <f t="shared" si="0"/>
        <v>4.3331185221719595E-2</v>
      </c>
      <c r="E26">
        <f t="shared" si="1"/>
        <v>8.66066644174337E-4</v>
      </c>
    </row>
    <row r="27" spans="1:5" x14ac:dyDescent="0.2">
      <c r="A27" s="5" t="s">
        <v>42</v>
      </c>
      <c r="B27" s="6">
        <v>43.664238636363599</v>
      </c>
      <c r="C27" s="7">
        <v>10429.799999999999</v>
      </c>
      <c r="D27">
        <f t="shared" si="0"/>
        <v>2.2902036797847643E-2</v>
      </c>
      <c r="E27">
        <f t="shared" si="1"/>
        <v>4.5602797439224616E-4</v>
      </c>
    </row>
    <row r="28" spans="1:5" x14ac:dyDescent="0.2">
      <c r="A28" s="2" t="s">
        <v>43</v>
      </c>
      <c r="B28" s="3">
        <v>45.500925881506397</v>
      </c>
      <c r="C28" s="4">
        <v>10417.299999999999</v>
      </c>
      <c r="D28">
        <f t="shared" si="0"/>
        <v>2.1977574755384144E-2</v>
      </c>
      <c r="E28">
        <f t="shared" si="1"/>
        <v>4.3709549782903811E-4</v>
      </c>
    </row>
    <row r="29" spans="1:5" x14ac:dyDescent="0.2">
      <c r="A29" s="5" t="s">
        <v>44</v>
      </c>
      <c r="B29" s="6">
        <v>23.318628308400498</v>
      </c>
      <c r="C29" s="7">
        <v>10146.4</v>
      </c>
      <c r="D29">
        <f t="shared" si="0"/>
        <v>4.2884169118976502E-2</v>
      </c>
      <c r="E29">
        <f t="shared" si="1"/>
        <v>8.3071179221797734E-4</v>
      </c>
    </row>
    <row r="30" spans="1:5" x14ac:dyDescent="0.2">
      <c r="A30" s="2" t="s">
        <v>45</v>
      </c>
      <c r="B30" s="3">
        <v>39.710612244898002</v>
      </c>
      <c r="C30" s="4">
        <v>9821.2900000000009</v>
      </c>
      <c r="D30">
        <f t="shared" si="0"/>
        <v>2.5182185402555193E-2</v>
      </c>
      <c r="E30">
        <f>+D30*(C30/$C$31)</f>
        <v>4.7217539032026512E-4</v>
      </c>
    </row>
    <row r="31" spans="1:5" x14ac:dyDescent="0.2">
      <c r="A31" s="5" t="s">
        <v>77</v>
      </c>
      <c r="C31" s="25">
        <f>SUM(C3:C30)</f>
        <v>523791.69</v>
      </c>
      <c r="E31">
        <f>SUM(E3:E30)</f>
        <v>3.787466836722226E-2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8"/>
  <sheetViews>
    <sheetView workbookViewId="0">
      <selection activeCell="U28" sqref="U28"/>
    </sheetView>
  </sheetViews>
  <sheetFormatPr defaultColWidth="9.140625" defaultRowHeight="15" customHeight="1" x14ac:dyDescent="0.2"/>
  <cols>
    <col min="1" max="1" width="36.7109375" customWidth="1"/>
    <col min="2" max="2" width="18.5703125" style="8" customWidth="1"/>
    <col min="3" max="5" width="10.42578125" style="8" customWidth="1"/>
    <col min="6" max="6" width="9.140625" style="8" customWidth="1"/>
    <col min="7" max="7" width="10.42578125" style="8" customWidth="1"/>
    <col min="8" max="8" width="10.28515625" style="8" customWidth="1"/>
    <col min="9" max="9" width="8.7109375" style="8" customWidth="1"/>
    <col min="10" max="10" width="9.85546875" style="8" customWidth="1"/>
    <col min="11" max="11" width="9.140625" style="8" customWidth="1"/>
    <col min="13" max="13" width="15.42578125" customWidth="1"/>
    <col min="14" max="14" width="12.5703125" customWidth="1"/>
    <col min="15" max="15" width="12.42578125" customWidth="1"/>
    <col min="16" max="16" width="11.85546875" bestFit="1" customWidth="1"/>
  </cols>
  <sheetData>
    <row r="1" spans="1:16" ht="15" customHeight="1" x14ac:dyDescent="0.2">
      <c r="H1" s="9" t="s">
        <v>7</v>
      </c>
      <c r="I1" s="9" t="s">
        <v>8</v>
      </c>
      <c r="J1" s="9" t="s">
        <v>10</v>
      </c>
      <c r="K1" s="9" t="s">
        <v>46</v>
      </c>
      <c r="M1" s="9" t="s">
        <v>11</v>
      </c>
      <c r="N1" s="9" t="s">
        <v>47</v>
      </c>
      <c r="O1" s="9" t="s">
        <v>0</v>
      </c>
      <c r="P1" s="9" t="s">
        <v>58</v>
      </c>
    </row>
    <row r="2" spans="1:16" ht="15" customHeight="1" thickBot="1" x14ac:dyDescent="0.25">
      <c r="B2" s="9" t="s">
        <v>104</v>
      </c>
      <c r="C2" s="9" t="s">
        <v>7</v>
      </c>
      <c r="D2" s="9" t="s">
        <v>8</v>
      </c>
      <c r="E2" s="9" t="s">
        <v>10</v>
      </c>
      <c r="F2" s="9" t="s">
        <v>46</v>
      </c>
      <c r="H2" s="9" t="s">
        <v>13</v>
      </c>
      <c r="I2" s="9" t="s">
        <v>13</v>
      </c>
      <c r="J2" s="9" t="s">
        <v>13</v>
      </c>
      <c r="K2" s="9" t="s">
        <v>13</v>
      </c>
      <c r="M2" s="9" t="s">
        <v>15</v>
      </c>
      <c r="N2" s="9" t="s">
        <v>49</v>
      </c>
      <c r="O2" s="9" t="s">
        <v>15</v>
      </c>
      <c r="P2" s="9" t="s">
        <v>48</v>
      </c>
    </row>
    <row r="3" spans="1:16" ht="15" customHeight="1" thickBot="1" x14ac:dyDescent="0.25">
      <c r="A3" s="9" t="s">
        <v>16</v>
      </c>
      <c r="B3" s="32">
        <v>206.5</v>
      </c>
      <c r="C3" s="13">
        <v>1179.8</v>
      </c>
      <c r="D3" s="14">
        <v>1018.5</v>
      </c>
      <c r="E3" s="14">
        <v>5427.1</v>
      </c>
      <c r="F3" s="15">
        <v>5.5549999999999997</v>
      </c>
      <c r="H3" s="13">
        <v>1207.45</v>
      </c>
      <c r="I3" s="14">
        <v>1023.45</v>
      </c>
      <c r="J3" s="14">
        <v>5527.81</v>
      </c>
      <c r="K3" s="15">
        <v>5.6733599999999997</v>
      </c>
      <c r="M3" s="10">
        <f>B8</f>
        <v>27384.2</v>
      </c>
      <c r="N3" s="10">
        <v>4232.5</v>
      </c>
      <c r="O3" s="10">
        <f>N3+M3</f>
        <v>31616.7</v>
      </c>
      <c r="P3" s="10">
        <v>134.30000000000001</v>
      </c>
    </row>
    <row r="5" spans="1:16" ht="15" customHeight="1" x14ac:dyDescent="0.2">
      <c r="A5" s="1"/>
      <c r="B5" s="9"/>
      <c r="C5" s="9" t="s">
        <v>0</v>
      </c>
      <c r="D5" s="9" t="s">
        <v>0</v>
      </c>
      <c r="E5" s="9" t="s">
        <v>0</v>
      </c>
      <c r="F5" s="9" t="s">
        <v>2</v>
      </c>
      <c r="G5" s="9"/>
      <c r="H5" s="9" t="s">
        <v>1</v>
      </c>
      <c r="I5" s="9" t="s">
        <v>1</v>
      </c>
      <c r="J5" s="9" t="s">
        <v>1</v>
      </c>
      <c r="K5" s="9" t="s">
        <v>3</v>
      </c>
    </row>
    <row r="6" spans="1:16" ht="15" customHeight="1" x14ac:dyDescent="0.2">
      <c r="A6" s="1" t="s">
        <v>5</v>
      </c>
      <c r="B6" s="9" t="s">
        <v>11</v>
      </c>
      <c r="C6" s="9" t="s">
        <v>6</v>
      </c>
      <c r="D6" s="9" t="s">
        <v>6</v>
      </c>
      <c r="E6" s="9" t="s">
        <v>6</v>
      </c>
      <c r="F6" s="9" t="s">
        <v>4</v>
      </c>
      <c r="G6" s="9"/>
      <c r="H6" s="9" t="s">
        <v>7</v>
      </c>
      <c r="I6" s="9" t="s">
        <v>8</v>
      </c>
      <c r="J6" s="9" t="s">
        <v>9</v>
      </c>
      <c r="K6" s="9" t="s">
        <v>4</v>
      </c>
    </row>
    <row r="7" spans="1:16" ht="15" customHeight="1" x14ac:dyDescent="0.2">
      <c r="A7" s="1" t="s">
        <v>12</v>
      </c>
      <c r="B7" s="9" t="s">
        <v>15</v>
      </c>
      <c r="C7" s="9" t="s">
        <v>7</v>
      </c>
      <c r="D7" s="9" t="s">
        <v>8</v>
      </c>
      <c r="E7" s="9" t="s">
        <v>10</v>
      </c>
      <c r="F7" s="9" t="s">
        <v>14</v>
      </c>
      <c r="G7" s="9"/>
      <c r="H7" s="9" t="s">
        <v>13</v>
      </c>
      <c r="I7" s="9" t="s">
        <v>13</v>
      </c>
      <c r="J7" s="9" t="s">
        <v>13</v>
      </c>
      <c r="K7" s="9" t="s">
        <v>13</v>
      </c>
    </row>
    <row r="8" spans="1:16" ht="15" customHeight="1" x14ac:dyDescent="0.2">
      <c r="A8" s="5" t="s">
        <v>16</v>
      </c>
      <c r="B8" s="10">
        <v>27384.2</v>
      </c>
      <c r="C8" s="11">
        <v>26.808900000000001</v>
      </c>
      <c r="D8" s="11">
        <v>31.054600000000001</v>
      </c>
      <c r="E8" s="11">
        <v>5.8279899999999998</v>
      </c>
      <c r="F8" s="11">
        <v>36.993699369936998</v>
      </c>
      <c r="G8" s="11"/>
      <c r="H8" s="11">
        <v>25.556100000000001</v>
      </c>
      <c r="I8" s="11">
        <v>30.1508</v>
      </c>
      <c r="J8" s="11">
        <v>5.5822700000000003</v>
      </c>
      <c r="K8" s="11">
        <v>36.221899999999998</v>
      </c>
    </row>
    <row r="9" spans="1:16" ht="15" customHeight="1" x14ac:dyDescent="0.2">
      <c r="A9" s="5" t="s">
        <v>17</v>
      </c>
      <c r="B9" s="10">
        <v>27475.8</v>
      </c>
      <c r="C9" s="11">
        <v>20.973800000000001</v>
      </c>
      <c r="D9" s="11">
        <v>24.443899999999999</v>
      </c>
      <c r="E9" s="11">
        <v>2.8370600000000001</v>
      </c>
      <c r="F9" s="11">
        <v>30.0005884776084</v>
      </c>
      <c r="G9" s="11"/>
      <c r="H9" s="11">
        <v>19.1097</v>
      </c>
      <c r="I9" s="11">
        <v>22.383700000000001</v>
      </c>
      <c r="J9" s="11">
        <v>2.7061799999999998</v>
      </c>
      <c r="K9" s="11">
        <v>28.616399999999999</v>
      </c>
    </row>
    <row r="10" spans="1:16" ht="15" customHeight="1" x14ac:dyDescent="0.2">
      <c r="A10" s="5" t="s">
        <v>18</v>
      </c>
      <c r="B10" s="10">
        <v>24134.7</v>
      </c>
      <c r="C10" s="11">
        <v>15.266</v>
      </c>
      <c r="D10" s="11">
        <v>19.647500000000001</v>
      </c>
      <c r="E10" s="11">
        <v>2.4136500000000001</v>
      </c>
      <c r="F10" s="11">
        <v>22.1941912900886</v>
      </c>
      <c r="G10" s="11"/>
      <c r="H10" s="11">
        <v>13.832700000000001</v>
      </c>
      <c r="I10" s="11">
        <v>17.933599999999998</v>
      </c>
      <c r="J10" s="11">
        <v>2.3510599999999999</v>
      </c>
      <c r="K10" s="11">
        <v>17.7822</v>
      </c>
    </row>
    <row r="11" spans="1:16" ht="15" customHeight="1" x14ac:dyDescent="0.2">
      <c r="A11" s="5" t="s">
        <v>19</v>
      </c>
      <c r="B11" s="10">
        <v>31026.6</v>
      </c>
      <c r="C11" s="11">
        <v>17.6219</v>
      </c>
      <c r="D11" s="11">
        <v>20.6157</v>
      </c>
      <c r="E11" s="11">
        <v>4.4238900000000001</v>
      </c>
      <c r="F11" s="11">
        <v>29.243951217599299</v>
      </c>
      <c r="G11" s="11"/>
      <c r="H11" s="11">
        <v>16.583500000000001</v>
      </c>
      <c r="I11" s="11">
        <v>19.371600000000001</v>
      </c>
      <c r="J11" s="11">
        <v>4.2886199999999999</v>
      </c>
      <c r="K11" s="11">
        <v>23.933399999999999</v>
      </c>
    </row>
    <row r="12" spans="1:16" ht="15" customHeight="1" x14ac:dyDescent="0.2">
      <c r="A12" s="5" t="s">
        <v>25</v>
      </c>
      <c r="B12" s="10">
        <v>18918.8</v>
      </c>
      <c r="C12" s="11">
        <v>12.839399999999999</v>
      </c>
      <c r="D12" s="11">
        <v>15.574</v>
      </c>
      <c r="E12" s="11">
        <v>2.5725500000000001</v>
      </c>
      <c r="F12" s="11">
        <v>22.522679692951801</v>
      </c>
      <c r="G12" s="11"/>
      <c r="H12" s="11">
        <v>11.937900000000001</v>
      </c>
      <c r="I12" s="11">
        <v>14.840999999999999</v>
      </c>
      <c r="J12" s="11">
        <v>2.5657000000000001</v>
      </c>
      <c r="K12" s="11">
        <v>15.9787</v>
      </c>
    </row>
    <row r="13" spans="1:16" ht="15" customHeight="1" x14ac:dyDescent="0.2">
      <c r="A13" s="5" t="s">
        <v>27</v>
      </c>
      <c r="B13" s="10">
        <v>16159.8</v>
      </c>
      <c r="C13" s="11">
        <v>13.834099999999999</v>
      </c>
      <c r="D13" s="11">
        <v>16.494499999999999</v>
      </c>
      <c r="E13" s="11">
        <v>2.6153</v>
      </c>
      <c r="F13" s="11">
        <v>29.905496840574799</v>
      </c>
      <c r="G13" s="11"/>
      <c r="H13" s="11">
        <v>12.760400000000001</v>
      </c>
      <c r="I13" s="11">
        <v>15.8644</v>
      </c>
      <c r="J13" s="11">
        <v>2.64175</v>
      </c>
      <c r="K13" s="11">
        <v>18.613700000000001</v>
      </c>
    </row>
    <row r="14" spans="1:16" ht="15" customHeight="1" x14ac:dyDescent="0.2">
      <c r="A14" s="5" t="s">
        <v>28</v>
      </c>
      <c r="B14" s="10">
        <v>39251.5</v>
      </c>
      <c r="C14" s="11">
        <v>14.0588</v>
      </c>
      <c r="D14" s="11">
        <v>16.732600000000001</v>
      </c>
      <c r="E14" s="11">
        <v>2.9683999999999999</v>
      </c>
      <c r="F14" s="11">
        <v>18.065513847884201</v>
      </c>
      <c r="G14" s="11"/>
      <c r="H14" s="11">
        <v>13.862</v>
      </c>
      <c r="I14" s="11">
        <v>16.642299999999999</v>
      </c>
      <c r="J14" s="11">
        <v>2.9056600000000001</v>
      </c>
      <c r="K14" s="11">
        <v>17.9968</v>
      </c>
    </row>
    <row r="15" spans="1:16" ht="15" customHeight="1" x14ac:dyDescent="0.2">
      <c r="A15" s="5" t="s">
        <v>31</v>
      </c>
      <c r="B15" s="10">
        <v>13890.3</v>
      </c>
      <c r="C15" s="11">
        <v>10.089600000000001</v>
      </c>
      <c r="D15" s="11">
        <v>13.2607</v>
      </c>
      <c r="E15" s="11">
        <v>2.3782999999999999</v>
      </c>
      <c r="F15" s="11">
        <v>16.130015370753199</v>
      </c>
      <c r="G15" s="11"/>
      <c r="H15" s="11">
        <v>10.7943</v>
      </c>
      <c r="I15" s="11">
        <v>12.604799999999999</v>
      </c>
      <c r="J15" s="11">
        <v>2.3595100000000002</v>
      </c>
      <c r="K15" s="11">
        <v>14.208299999999999</v>
      </c>
    </row>
    <row r="16" spans="1:16" ht="15" customHeight="1" x14ac:dyDescent="0.2">
      <c r="A16" s="5" t="s">
        <v>36</v>
      </c>
      <c r="B16" s="10">
        <v>43169.3</v>
      </c>
      <c r="C16" s="11">
        <v>11.245699999999999</v>
      </c>
      <c r="D16" s="11">
        <v>13.396699999999999</v>
      </c>
      <c r="E16" s="11">
        <v>2.7283599999999999</v>
      </c>
      <c r="F16" s="12" t="s">
        <v>21</v>
      </c>
      <c r="G16" s="11"/>
      <c r="H16" s="11">
        <v>11.2828</v>
      </c>
      <c r="I16" s="11">
        <v>13.766</v>
      </c>
      <c r="J16" s="11">
        <v>2.7024300000000001</v>
      </c>
      <c r="K16" s="11">
        <v>13.920299999999999</v>
      </c>
    </row>
    <row r="17" spans="1:17" ht="15" customHeight="1" x14ac:dyDescent="0.2">
      <c r="A17" s="5" t="s">
        <v>38</v>
      </c>
      <c r="B17" s="10">
        <v>45634.5</v>
      </c>
      <c r="C17" s="11">
        <v>11.141999999999999</v>
      </c>
      <c r="D17" s="11">
        <v>15.04</v>
      </c>
      <c r="E17" s="11">
        <v>2.2370999999999999</v>
      </c>
      <c r="F17" s="11">
        <v>20.585276590472599</v>
      </c>
      <c r="G17" s="11"/>
      <c r="H17" s="11">
        <v>10.911099999999999</v>
      </c>
      <c r="I17" s="11">
        <v>14.1289</v>
      </c>
      <c r="J17" s="11">
        <v>2.0499299999999998</v>
      </c>
      <c r="K17" s="11">
        <v>15.765599999999999</v>
      </c>
    </row>
    <row r="18" spans="1:17" ht="15" customHeight="1" x14ac:dyDescent="0.2">
      <c r="A18" s="5"/>
    </row>
    <row r="19" spans="1:17" ht="15" customHeight="1" x14ac:dyDescent="0.2">
      <c r="B19" t="s">
        <v>50</v>
      </c>
      <c r="C19" s="16">
        <f>+AVERAGE(C8:C17)</f>
        <v>15.388020000000001</v>
      </c>
      <c r="D19" s="16">
        <f t="shared" ref="D19:K19" si="0">+AVERAGE(D8:D17)</f>
        <v>18.626020000000004</v>
      </c>
      <c r="E19" s="16">
        <f t="shared" si="0"/>
        <v>3.10026</v>
      </c>
      <c r="F19" s="16">
        <f t="shared" si="0"/>
        <v>25.071268077541099</v>
      </c>
      <c r="H19" s="16">
        <f t="shared" si="0"/>
        <v>14.663050000000002</v>
      </c>
      <c r="I19" s="16">
        <f t="shared" si="0"/>
        <v>17.768709999999999</v>
      </c>
      <c r="J19" s="16">
        <f t="shared" si="0"/>
        <v>3.0153110000000005</v>
      </c>
      <c r="K19" s="16">
        <f t="shared" si="0"/>
        <v>20.303730000000002</v>
      </c>
    </row>
    <row r="20" spans="1:17" ht="15" customHeight="1" x14ac:dyDescent="0.2">
      <c r="B20" t="s">
        <v>51</v>
      </c>
      <c r="C20" s="16">
        <f>+MEDIAN(C8:C17)</f>
        <v>13.946449999999999</v>
      </c>
      <c r="D20" s="16">
        <f t="shared" ref="D20:K20" si="1">+MEDIAN(D8:D17)</f>
        <v>16.61355</v>
      </c>
      <c r="E20" s="16">
        <f t="shared" si="1"/>
        <v>2.6718299999999999</v>
      </c>
      <c r="F20" s="16">
        <f t="shared" si="1"/>
        <v>22.522679692951801</v>
      </c>
      <c r="H20" s="16">
        <f t="shared" si="1"/>
        <v>13.29655</v>
      </c>
      <c r="I20" s="16">
        <f t="shared" si="1"/>
        <v>16.253349999999998</v>
      </c>
      <c r="J20" s="16">
        <f t="shared" si="1"/>
        <v>2.6720899999999999</v>
      </c>
      <c r="K20" s="16">
        <f t="shared" si="1"/>
        <v>17.889499999999998</v>
      </c>
    </row>
    <row r="21" spans="1:17" ht="15" customHeight="1" x14ac:dyDescent="0.2">
      <c r="B21" t="s">
        <v>52</v>
      </c>
      <c r="C21" s="16">
        <f>HARMEAN(C8:C17)</f>
        <v>14.157933771345663</v>
      </c>
      <c r="D21" s="16">
        <f t="shared" ref="D21:K21" si="2">HARMEAN(D8:D17)</f>
        <v>17.431929316568084</v>
      </c>
      <c r="E21" s="16">
        <f t="shared" si="2"/>
        <v>2.8519427696483999</v>
      </c>
      <c r="F21" s="16">
        <f t="shared" si="2"/>
        <v>23.47519940649412</v>
      </c>
      <c r="H21" s="16">
        <f t="shared" si="2"/>
        <v>13.675249039386282</v>
      </c>
      <c r="I21" s="16">
        <f t="shared" si="2"/>
        <v>16.708921234578849</v>
      </c>
      <c r="J21" s="16">
        <f t="shared" si="2"/>
        <v>2.7767718381100699</v>
      </c>
      <c r="K21" s="16">
        <f t="shared" si="2"/>
        <v>18.584182141735432</v>
      </c>
    </row>
    <row r="22" spans="1:17" ht="15" customHeight="1" x14ac:dyDescent="0.2">
      <c r="B22" t="s">
        <v>53</v>
      </c>
      <c r="C22" s="16">
        <f>MAX(C8:C17)</f>
        <v>26.808900000000001</v>
      </c>
      <c r="D22" s="16">
        <f t="shared" ref="D22:K22" si="3">MAX(D8:D17)</f>
        <v>31.054600000000001</v>
      </c>
      <c r="E22" s="16">
        <f t="shared" si="3"/>
        <v>5.8279899999999998</v>
      </c>
      <c r="F22" s="16">
        <f t="shared" si="3"/>
        <v>36.993699369936998</v>
      </c>
      <c r="H22" s="16">
        <f t="shared" si="3"/>
        <v>25.556100000000001</v>
      </c>
      <c r="I22" s="16">
        <f t="shared" si="3"/>
        <v>30.1508</v>
      </c>
      <c r="J22" s="16">
        <f t="shared" si="3"/>
        <v>5.5822700000000003</v>
      </c>
      <c r="K22" s="16">
        <f t="shared" si="3"/>
        <v>36.221899999999998</v>
      </c>
    </row>
    <row r="23" spans="1:17" ht="15" customHeight="1" x14ac:dyDescent="0.2">
      <c r="B23" t="s">
        <v>54</v>
      </c>
      <c r="C23" s="16">
        <f>MIN(C8:C17)</f>
        <v>10.089600000000001</v>
      </c>
      <c r="D23" s="16">
        <f t="shared" ref="D23:K23" si="4">MIN(D8:D17)</f>
        <v>13.2607</v>
      </c>
      <c r="E23" s="16">
        <f t="shared" si="4"/>
        <v>2.2370999999999999</v>
      </c>
      <c r="F23" s="16">
        <f t="shared" si="4"/>
        <v>16.130015370753199</v>
      </c>
      <c r="H23" s="16">
        <f t="shared" si="4"/>
        <v>10.7943</v>
      </c>
      <c r="I23" s="16">
        <f t="shared" si="4"/>
        <v>12.604799999999999</v>
      </c>
      <c r="J23" s="16">
        <f t="shared" si="4"/>
        <v>2.0499299999999998</v>
      </c>
      <c r="K23" s="16">
        <f t="shared" si="4"/>
        <v>13.920299999999999</v>
      </c>
    </row>
    <row r="25" spans="1:17" ht="15" customHeight="1" x14ac:dyDescent="0.25">
      <c r="B25" s="17" t="s">
        <v>52</v>
      </c>
      <c r="M25" s="8"/>
      <c r="N25" s="8" t="s">
        <v>54</v>
      </c>
      <c r="O25" s="8" t="s">
        <v>67</v>
      </c>
      <c r="P25" s="8" t="s">
        <v>53</v>
      </c>
      <c r="Q25" s="8" t="s">
        <v>68</v>
      </c>
    </row>
    <row r="26" spans="1:17" ht="15" customHeight="1" x14ac:dyDescent="0.2">
      <c r="B26" s="18" t="s">
        <v>55</v>
      </c>
      <c r="C26" s="8">
        <f>+C21*C3</f>
        <v>16703.530263433611</v>
      </c>
      <c r="D26" s="8">
        <f t="shared" ref="D26:E26" si="5">+D21*D3</f>
        <v>17754.420008924593</v>
      </c>
      <c r="E26" s="8">
        <f t="shared" si="5"/>
        <v>15477.778605158832</v>
      </c>
      <c r="H26" s="8">
        <f>+H21*H3</f>
        <v>16512.179452606968</v>
      </c>
      <c r="I26" s="8">
        <f t="shared" ref="I26:J26" si="6">+I21*I3</f>
        <v>17100.745437529724</v>
      </c>
      <c r="J26" s="8">
        <f t="shared" si="6"/>
        <v>15349.467134423227</v>
      </c>
      <c r="M26" s="8" t="s">
        <v>59</v>
      </c>
      <c r="N26" s="21">
        <f>+C38</f>
        <v>57.11995591958302</v>
      </c>
      <c r="O26" s="21">
        <f>+P26-N26</f>
        <v>146.87587594936707</v>
      </c>
      <c r="P26" s="21">
        <f>+C33</f>
        <v>203.99583186895009</v>
      </c>
      <c r="Q26" s="21">
        <f>+C28</f>
        <v>92.859495632417051</v>
      </c>
    </row>
    <row r="27" spans="1:17" ht="15" customHeight="1" x14ac:dyDescent="0.2">
      <c r="B27" s="18" t="s">
        <v>56</v>
      </c>
      <c r="C27" s="20">
        <f>C26-$N$3</f>
        <v>12471.030263433611</v>
      </c>
      <c r="D27" s="20">
        <f t="shared" ref="D27:E27" si="7">D26-$N$3</f>
        <v>13521.920008924593</v>
      </c>
      <c r="E27" s="20">
        <f t="shared" si="7"/>
        <v>11245.278605158832</v>
      </c>
      <c r="F27" s="20"/>
      <c r="H27" s="20">
        <f>H26-$N$3</f>
        <v>12279.679452606968</v>
      </c>
      <c r="I27" s="20">
        <f t="shared" ref="I27" si="8">I26-$N$3</f>
        <v>12868.245437529724</v>
      </c>
      <c r="J27" s="20">
        <f t="shared" ref="J27" si="9">J26-$N$3</f>
        <v>11116.967134423227</v>
      </c>
      <c r="K27" s="20"/>
      <c r="M27" s="8" t="s">
        <v>60</v>
      </c>
      <c r="N27" s="21">
        <f>+D38</f>
        <v>69.050803797468348</v>
      </c>
      <c r="O27" s="21">
        <f t="shared" ref="O27:O34" si="10">+P27-N27</f>
        <v>134.94480379746835</v>
      </c>
      <c r="P27" s="21">
        <f>+D33</f>
        <v>203.9956075949367</v>
      </c>
      <c r="Q27" s="21">
        <f>+D28</f>
        <v>100.68443789221588</v>
      </c>
    </row>
    <row r="28" spans="1:17" ht="15" customHeight="1" x14ac:dyDescent="0.25">
      <c r="B28" s="19" t="s">
        <v>57</v>
      </c>
      <c r="C28" s="21">
        <f>+C27/$P$3</f>
        <v>92.859495632417051</v>
      </c>
      <c r="D28" s="21">
        <f t="shared" ref="D28:E28" si="11">+D27/$P$3</f>
        <v>100.68443789221588</v>
      </c>
      <c r="E28" s="21">
        <f t="shared" si="11"/>
        <v>83.732528705575803</v>
      </c>
      <c r="F28" s="21">
        <f>+F21*F3</f>
        <v>130.40473270307484</v>
      </c>
      <c r="H28" s="21">
        <f>+H27/$P$3</f>
        <v>91.434694360439067</v>
      </c>
      <c r="I28" s="21">
        <f t="shared" ref="I28" si="12">+I27/$P$3</f>
        <v>95.817166325612234</v>
      </c>
      <c r="J28" s="21">
        <f t="shared" ref="J28" si="13">+J27/$P$3</f>
        <v>82.777119392578001</v>
      </c>
      <c r="K28" s="21">
        <f>+K21*K3</f>
        <v>105.43475559563613</v>
      </c>
      <c r="M28" s="8" t="s">
        <v>61</v>
      </c>
      <c r="N28" s="21">
        <f>+E38</f>
        <v>58.886562993298583</v>
      </c>
      <c r="O28" s="21">
        <f t="shared" si="10"/>
        <v>145.10885419955324</v>
      </c>
      <c r="P28" s="21">
        <f>+E33</f>
        <v>203.99541719285182</v>
      </c>
      <c r="Q28" s="21">
        <f>+E28</f>
        <v>83.732528705575803</v>
      </c>
    </row>
    <row r="29" spans="1:17" ht="15" customHeight="1" x14ac:dyDescent="0.2">
      <c r="M29" s="8" t="s">
        <v>62</v>
      </c>
      <c r="N29" s="21">
        <f>+F38</f>
        <v>89.602235384534012</v>
      </c>
      <c r="O29" s="21">
        <f t="shared" si="10"/>
        <v>115.89776461546599</v>
      </c>
      <c r="P29" s="8">
        <f>+F33</f>
        <v>205.5</v>
      </c>
      <c r="Q29" s="21">
        <f>+F28</f>
        <v>130.40473270307484</v>
      </c>
    </row>
    <row r="30" spans="1:17" ht="15" customHeight="1" x14ac:dyDescent="0.25">
      <c r="B30" s="17" t="s">
        <v>53</v>
      </c>
      <c r="M30" s="8" t="s">
        <v>63</v>
      </c>
      <c r="N30" s="21">
        <f>+H38</f>
        <v>65.53296749813849</v>
      </c>
      <c r="O30" s="21">
        <f t="shared" si="10"/>
        <v>132.71880424422937</v>
      </c>
      <c r="P30" s="21">
        <f>+H33</f>
        <v>198.25177174236785</v>
      </c>
      <c r="Q30" s="21">
        <f>+H28</f>
        <v>91.434694360439067</v>
      </c>
    </row>
    <row r="31" spans="1:17" ht="15" customHeight="1" x14ac:dyDescent="0.2">
      <c r="B31" s="18" t="s">
        <v>55</v>
      </c>
      <c r="C31" s="8">
        <f>+C22*C3</f>
        <v>31629.140220000001</v>
      </c>
      <c r="D31" s="8">
        <f t="shared" ref="D31:E31" si="14">+D22*D3</f>
        <v>31629.110100000002</v>
      </c>
      <c r="E31" s="8">
        <f t="shared" si="14"/>
        <v>31629.084529</v>
      </c>
      <c r="H31" s="8">
        <f>+H22*H3</f>
        <v>30857.712945000003</v>
      </c>
      <c r="I31" s="8">
        <f t="shared" ref="I31:J31" si="15">+I22*I3</f>
        <v>30857.83626</v>
      </c>
      <c r="J31" s="8">
        <f t="shared" si="15"/>
        <v>30857.727928700006</v>
      </c>
      <c r="M31" s="8" t="s">
        <v>64</v>
      </c>
      <c r="N31" s="21">
        <f>+I38</f>
        <v>64.541195532390162</v>
      </c>
      <c r="O31" s="21">
        <f t="shared" si="10"/>
        <v>133.71149441548772</v>
      </c>
      <c r="P31" s="21">
        <f>+I33</f>
        <v>198.25268994787788</v>
      </c>
      <c r="Q31" s="21">
        <f>+I28</f>
        <v>95.817166325612234</v>
      </c>
    </row>
    <row r="32" spans="1:17" ht="15" customHeight="1" x14ac:dyDescent="0.2">
      <c r="B32" s="18" t="s">
        <v>56</v>
      </c>
      <c r="C32" s="20">
        <f>C31-$N$3</f>
        <v>27396.640220000001</v>
      </c>
      <c r="D32" s="20">
        <f t="shared" ref="D32:E32" si="16">D31-$N$3</f>
        <v>27396.610100000002</v>
      </c>
      <c r="E32" s="20">
        <f t="shared" si="16"/>
        <v>27396.584529</v>
      </c>
      <c r="H32" s="20">
        <f>H31-$N$3</f>
        <v>26625.212945000003</v>
      </c>
      <c r="I32" s="20">
        <f t="shared" ref="I32" si="17">I31-$N$3</f>
        <v>26625.33626</v>
      </c>
      <c r="J32" s="20">
        <f t="shared" ref="J32" si="18">J31-$N$3</f>
        <v>26625.227928700006</v>
      </c>
      <c r="M32" s="8" t="s">
        <v>65</v>
      </c>
      <c r="N32" s="21">
        <f>+J38</f>
        <v>52.860190270290389</v>
      </c>
      <c r="O32" s="21">
        <f t="shared" si="10"/>
        <v>145.39169304095313</v>
      </c>
      <c r="P32" s="21">
        <f>+J33</f>
        <v>198.25188331124352</v>
      </c>
      <c r="Q32" s="21">
        <f>+J28</f>
        <v>82.777119392578001</v>
      </c>
    </row>
    <row r="33" spans="2:17" ht="15" customHeight="1" x14ac:dyDescent="0.25">
      <c r="B33" s="19" t="s">
        <v>57</v>
      </c>
      <c r="C33" s="21">
        <f>+C32/$P$3</f>
        <v>203.99583186895009</v>
      </c>
      <c r="D33" s="21">
        <f t="shared" ref="D33:E33" si="19">+D32/$P$3</f>
        <v>203.9956075949367</v>
      </c>
      <c r="E33" s="21">
        <f t="shared" si="19"/>
        <v>203.99541719285182</v>
      </c>
      <c r="F33" s="8">
        <f>+F22*F3</f>
        <v>205.5</v>
      </c>
      <c r="H33" s="21">
        <f>+H32/$P$3</f>
        <v>198.25177174236785</v>
      </c>
      <c r="I33" s="21">
        <f t="shared" ref="I33" si="20">+I32/$P$3</f>
        <v>198.25268994787788</v>
      </c>
      <c r="J33" s="21">
        <f t="shared" ref="J33" si="21">+J32/$P$3</f>
        <v>198.25188331124352</v>
      </c>
      <c r="K33" s="8">
        <f>+K22*K3</f>
        <v>205.49987858399999</v>
      </c>
      <c r="M33" s="8" t="s">
        <v>66</v>
      </c>
      <c r="N33" s="21">
        <f>+K38</f>
        <v>78.974873207999991</v>
      </c>
      <c r="O33" s="21">
        <f t="shared" si="10"/>
        <v>126.525005376</v>
      </c>
      <c r="P33" s="21">
        <f>+K33</f>
        <v>205.49987858399999</v>
      </c>
      <c r="Q33" s="21">
        <f>+K28</f>
        <v>105.43475559563613</v>
      </c>
    </row>
    <row r="34" spans="2:17" ht="15" customHeight="1" x14ac:dyDescent="0.2">
      <c r="M34" s="8" t="s">
        <v>69</v>
      </c>
      <c r="N34" s="8">
        <v>112</v>
      </c>
      <c r="O34" s="21">
        <f t="shared" si="10"/>
        <v>94.6</v>
      </c>
      <c r="P34" s="8">
        <v>206.6</v>
      </c>
      <c r="Q34" s="8">
        <f>+B3</f>
        <v>206.5</v>
      </c>
    </row>
    <row r="35" spans="2:17" ht="15" customHeight="1" x14ac:dyDescent="0.25">
      <c r="B35" s="17" t="s">
        <v>54</v>
      </c>
    </row>
    <row r="36" spans="2:17" ht="15" customHeight="1" x14ac:dyDescent="0.2">
      <c r="B36" s="18" t="s">
        <v>55</v>
      </c>
      <c r="C36" s="8">
        <f>+C23*C3</f>
        <v>11903.710080000001</v>
      </c>
      <c r="D36" s="8">
        <f t="shared" ref="D36:E36" si="22">+D23*D3</f>
        <v>13506.02295</v>
      </c>
      <c r="E36" s="8">
        <f t="shared" si="22"/>
        <v>12140.965410000001</v>
      </c>
      <c r="H36" s="8">
        <f>+H23*H3</f>
        <v>13033.577535</v>
      </c>
      <c r="I36" s="8">
        <f t="shared" ref="I36:J36" si="23">+I23*I3</f>
        <v>12900.38256</v>
      </c>
      <c r="J36" s="8">
        <f t="shared" si="23"/>
        <v>11331.6235533</v>
      </c>
    </row>
    <row r="37" spans="2:17" ht="15" customHeight="1" x14ac:dyDescent="0.2">
      <c r="B37" s="18" t="s">
        <v>56</v>
      </c>
      <c r="C37" s="20">
        <f>+C36-$N$3</f>
        <v>7671.2100800000007</v>
      </c>
      <c r="D37" s="20">
        <f t="shared" ref="D37:E37" si="24">+D36-$N$3</f>
        <v>9273.5229500000005</v>
      </c>
      <c r="E37" s="20">
        <f t="shared" si="24"/>
        <v>7908.4654100000007</v>
      </c>
      <c r="H37" s="20">
        <f>+H36-$N$3</f>
        <v>8801.0775350000004</v>
      </c>
      <c r="I37" s="20">
        <f t="shared" ref="I37" si="25">+I36-$N$3</f>
        <v>8667.88256</v>
      </c>
      <c r="J37" s="20">
        <f t="shared" ref="J37" si="26">+J36-$N$3</f>
        <v>7099.1235532999999</v>
      </c>
    </row>
    <row r="38" spans="2:17" ht="15" customHeight="1" x14ac:dyDescent="0.25">
      <c r="B38" s="19" t="s">
        <v>57</v>
      </c>
      <c r="C38" s="21">
        <f>+C37/$P$3</f>
        <v>57.11995591958302</v>
      </c>
      <c r="D38" s="21">
        <f t="shared" ref="D38:E38" si="27">+D37/$P$3</f>
        <v>69.050803797468348</v>
      </c>
      <c r="E38" s="21">
        <f t="shared" si="27"/>
        <v>58.886562993298583</v>
      </c>
      <c r="F38" s="21">
        <f>+F23*F3</f>
        <v>89.602235384534012</v>
      </c>
      <c r="H38" s="21">
        <f>+H37/$P$3</f>
        <v>65.53296749813849</v>
      </c>
      <c r="I38" s="21">
        <f t="shared" ref="I38" si="28">+I37/$P$3</f>
        <v>64.541195532390162</v>
      </c>
      <c r="J38" s="21">
        <f t="shared" ref="J38" si="29">+J37/$P$3</f>
        <v>52.860190270290389</v>
      </c>
      <c r="K38" s="21">
        <f>+K23*K3</f>
        <v>78.974873207999991</v>
      </c>
    </row>
  </sheetData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C37" sqref="C37"/>
    </sheetView>
  </sheetViews>
  <sheetFormatPr defaultRowHeight="12.75" x14ac:dyDescent="0.2"/>
  <cols>
    <col min="1" max="1" width="22.28515625" bestFit="1" customWidth="1"/>
    <col min="2" max="2" width="14.28515625" customWidth="1"/>
    <col min="9" max="9" width="10.42578125" customWidth="1"/>
    <col min="10" max="10" width="12.7109375" customWidth="1"/>
    <col min="14" max="14" width="10.28515625" customWidth="1"/>
    <col min="15" max="15" width="11.7109375" customWidth="1"/>
  </cols>
  <sheetData>
    <row r="1" spans="1:22" x14ac:dyDescent="0.2">
      <c r="A1" s="9" t="s">
        <v>16</v>
      </c>
      <c r="B1" s="26"/>
      <c r="C1" s="26" t="s">
        <v>78</v>
      </c>
      <c r="D1" s="26" t="s">
        <v>79</v>
      </c>
      <c r="E1" s="26" t="s">
        <v>80</v>
      </c>
      <c r="F1" s="26" t="s">
        <v>81</v>
      </c>
      <c r="G1" s="26" t="s">
        <v>82</v>
      </c>
      <c r="H1" s="26" t="s">
        <v>83</v>
      </c>
      <c r="I1" s="26" t="s">
        <v>84</v>
      </c>
      <c r="J1" s="26" t="s">
        <v>85</v>
      </c>
      <c r="K1" s="26" t="s">
        <v>86</v>
      </c>
      <c r="L1" s="26" t="s">
        <v>87</v>
      </c>
      <c r="M1" s="26" t="s">
        <v>88</v>
      </c>
      <c r="N1" s="26" t="s">
        <v>89</v>
      </c>
      <c r="O1" s="26" t="s">
        <v>90</v>
      </c>
      <c r="P1" s="26" t="s">
        <v>91</v>
      </c>
      <c r="Q1" s="26" t="s">
        <v>92</v>
      </c>
      <c r="R1" s="26" t="s">
        <v>93</v>
      </c>
      <c r="S1" s="26" t="s">
        <v>94</v>
      </c>
      <c r="T1" s="26" t="s">
        <v>95</v>
      </c>
      <c r="U1" s="26" t="s">
        <v>96</v>
      </c>
      <c r="V1" s="26" t="s">
        <v>97</v>
      </c>
    </row>
    <row r="2" spans="1:22" x14ac:dyDescent="0.2">
      <c r="A2" s="31"/>
      <c r="B2" s="30" t="s">
        <v>103</v>
      </c>
      <c r="C2" s="26" t="s">
        <v>98</v>
      </c>
      <c r="D2" s="26" t="s">
        <v>98</v>
      </c>
      <c r="E2" s="26" t="s">
        <v>98</v>
      </c>
      <c r="F2" s="26" t="s">
        <v>98</v>
      </c>
      <c r="G2" s="26" t="s">
        <v>98</v>
      </c>
      <c r="H2" s="26" t="s">
        <v>98</v>
      </c>
      <c r="I2" s="26" t="s">
        <v>98</v>
      </c>
      <c r="J2" s="26" t="s">
        <v>98</v>
      </c>
      <c r="K2" s="26" t="s">
        <v>98</v>
      </c>
      <c r="L2" s="26" t="s">
        <v>98</v>
      </c>
      <c r="M2" s="26" t="s">
        <v>98</v>
      </c>
      <c r="N2" s="26" t="s">
        <v>98</v>
      </c>
      <c r="O2" s="26" t="s">
        <v>98</v>
      </c>
      <c r="P2" s="26" t="s">
        <v>98</v>
      </c>
      <c r="Q2" s="26" t="s">
        <v>98</v>
      </c>
      <c r="R2" s="26" t="s">
        <v>98</v>
      </c>
      <c r="S2" s="26" t="s">
        <v>98</v>
      </c>
      <c r="T2" s="26" t="s">
        <v>98</v>
      </c>
      <c r="U2" s="26" t="s">
        <v>98</v>
      </c>
      <c r="V2" s="26" t="s">
        <v>98</v>
      </c>
    </row>
    <row r="3" spans="1:22" x14ac:dyDescent="0.2">
      <c r="A3" s="27" t="s">
        <v>99</v>
      </c>
      <c r="B3" s="29">
        <f>+HARMEAN(C3:V3)</f>
        <v>19.599018848984596</v>
      </c>
      <c r="C3" s="28">
        <v>23.377009000000001</v>
      </c>
      <c r="D3" s="28">
        <v>21.038395999999999</v>
      </c>
      <c r="E3" s="28">
        <v>23.487386999999998</v>
      </c>
      <c r="F3" s="28">
        <v>23.153269999999999</v>
      </c>
      <c r="G3" s="28">
        <v>22.731061</v>
      </c>
      <c r="H3" s="28">
        <v>20.477875000000001</v>
      </c>
      <c r="I3" s="28">
        <v>22.284554</v>
      </c>
      <c r="J3" s="28">
        <v>19.355634999999999</v>
      </c>
      <c r="K3" s="28">
        <v>17.207148</v>
      </c>
      <c r="L3" s="28">
        <v>19.433917000000001</v>
      </c>
      <c r="M3" s="28">
        <v>20.005352999999999</v>
      </c>
      <c r="N3" s="28">
        <v>21.566433</v>
      </c>
      <c r="O3" s="28">
        <v>18.521744999999999</v>
      </c>
      <c r="P3" s="28">
        <v>17.805187</v>
      </c>
      <c r="Q3" s="28">
        <v>16.654917999999999</v>
      </c>
      <c r="R3" s="28">
        <v>19.018484000000001</v>
      </c>
      <c r="S3" s="28">
        <v>18.882553000000001</v>
      </c>
      <c r="T3" s="28">
        <v>18.289652</v>
      </c>
      <c r="U3" s="28">
        <v>17.180143000000001</v>
      </c>
      <c r="V3" s="28">
        <v>16.536011999999999</v>
      </c>
    </row>
    <row r="4" spans="1:22" x14ac:dyDescent="0.2">
      <c r="A4" s="27" t="s">
        <v>100</v>
      </c>
      <c r="B4" s="29">
        <f t="shared" ref="B4:B6" si="0">+HARMEAN(C4:V4)</f>
        <v>22.824960846584325</v>
      </c>
      <c r="C4" s="28">
        <v>27.079229000000002</v>
      </c>
      <c r="D4" s="28">
        <v>24.506595999999998</v>
      </c>
      <c r="E4" s="28">
        <v>27.305378999999999</v>
      </c>
      <c r="F4" s="28">
        <v>26.895429</v>
      </c>
      <c r="G4" s="28">
        <v>26.438559000000001</v>
      </c>
      <c r="H4" s="28">
        <v>23.811682999999999</v>
      </c>
      <c r="I4" s="28">
        <v>25.836789</v>
      </c>
      <c r="J4" s="28">
        <v>22.334047999999999</v>
      </c>
      <c r="K4" s="28">
        <v>19.854402</v>
      </c>
      <c r="L4" s="28">
        <v>22.510435000000001</v>
      </c>
      <c r="M4" s="28">
        <v>23.190335999999999</v>
      </c>
      <c r="N4" s="28">
        <v>25.119993000000001</v>
      </c>
      <c r="O4" s="28">
        <v>21.654585000000001</v>
      </c>
      <c r="P4" s="28">
        <v>20.756264000000002</v>
      </c>
      <c r="Q4" s="28">
        <v>19.406687999999999</v>
      </c>
      <c r="R4" s="28">
        <v>22.245702999999999</v>
      </c>
      <c r="S4" s="28">
        <v>22.114182</v>
      </c>
      <c r="T4" s="28">
        <v>21.490416</v>
      </c>
      <c r="U4" s="28">
        <v>20.180434999999999</v>
      </c>
      <c r="V4" s="28">
        <v>19.405439000000001</v>
      </c>
    </row>
    <row r="5" spans="1:22" x14ac:dyDescent="0.2">
      <c r="A5" s="27" t="s">
        <v>101</v>
      </c>
      <c r="B5" s="29">
        <f t="shared" si="0"/>
        <v>3.6557825464570706</v>
      </c>
      <c r="C5" s="28">
        <v>5.0819400000000003</v>
      </c>
      <c r="D5" s="28">
        <v>4.4754820000000004</v>
      </c>
      <c r="E5" s="28">
        <v>4.9883350000000002</v>
      </c>
      <c r="F5" s="28">
        <v>4.8756680000000001</v>
      </c>
      <c r="G5" s="28">
        <v>4.6900060000000003</v>
      </c>
      <c r="H5" s="28">
        <v>4.1794830000000003</v>
      </c>
      <c r="I5" s="28">
        <v>4.5159089999999997</v>
      </c>
      <c r="J5" s="28">
        <v>3.9559959999999998</v>
      </c>
      <c r="K5" s="28">
        <v>3.47722</v>
      </c>
      <c r="L5" s="28">
        <v>3.7758430000000001</v>
      </c>
      <c r="M5" s="28">
        <v>3.7725490000000002</v>
      </c>
      <c r="N5" s="28">
        <v>3.8695189999999999</v>
      </c>
      <c r="O5" s="28">
        <v>3.2549610000000002</v>
      </c>
      <c r="P5" s="28">
        <v>3.1300919999999999</v>
      </c>
      <c r="Q5" s="28">
        <v>2.894177</v>
      </c>
      <c r="R5" s="28">
        <v>3.2726500000000001</v>
      </c>
      <c r="S5" s="28">
        <v>3.1567029999999998</v>
      </c>
      <c r="T5" s="28">
        <v>3.0556909999999999</v>
      </c>
      <c r="U5" s="28">
        <v>2.8483619999999998</v>
      </c>
      <c r="V5" s="28">
        <v>2.7066680000000001</v>
      </c>
    </row>
    <row r="6" spans="1:22" x14ac:dyDescent="0.2">
      <c r="A6" s="27" t="s">
        <v>102</v>
      </c>
      <c r="B6" s="29">
        <f t="shared" si="0"/>
        <v>25.321730516869227</v>
      </c>
      <c r="C6" s="28">
        <v>31.531953000000001</v>
      </c>
      <c r="D6" s="28">
        <v>28.048196000000001</v>
      </c>
      <c r="E6" s="28">
        <v>32.294688000000001</v>
      </c>
      <c r="F6" s="28">
        <v>31.015177000000001</v>
      </c>
      <c r="G6" s="28">
        <v>30.468826</v>
      </c>
      <c r="H6" s="28">
        <v>27.551413</v>
      </c>
      <c r="I6" s="28">
        <v>21.400445000000001</v>
      </c>
      <c r="J6" s="28">
        <v>18.556272</v>
      </c>
      <c r="K6" s="28">
        <v>16.083314999999999</v>
      </c>
      <c r="L6" s="28">
        <v>17.391445999999998</v>
      </c>
      <c r="M6" s="28">
        <v>27.616216000000001</v>
      </c>
      <c r="N6" s="28">
        <v>26.279005999999999</v>
      </c>
      <c r="O6" s="28">
        <v>27.625995</v>
      </c>
      <c r="P6" s="28">
        <v>26.528302</v>
      </c>
      <c r="Q6" s="28">
        <v>24.648648999999999</v>
      </c>
      <c r="R6" s="28">
        <v>28.165745999999999</v>
      </c>
      <c r="S6" s="28">
        <v>28.718934999999998</v>
      </c>
      <c r="T6" s="28">
        <v>28.260605999999999</v>
      </c>
      <c r="U6" s="28">
        <v>27.538461999999999</v>
      </c>
      <c r="V6" s="28">
        <v>25.574193999999999</v>
      </c>
    </row>
    <row r="8" spans="1:22" x14ac:dyDescent="0.2">
      <c r="A8" s="8"/>
      <c r="B8" s="8"/>
      <c r="C8" s="8"/>
      <c r="D8" s="8"/>
      <c r="E8" s="8"/>
      <c r="F8" s="8"/>
      <c r="G8" s="9" t="s">
        <v>11</v>
      </c>
      <c r="H8" s="9" t="s">
        <v>47</v>
      </c>
      <c r="I8" s="9" t="s">
        <v>0</v>
      </c>
      <c r="J8" s="9" t="s">
        <v>58</v>
      </c>
    </row>
    <row r="9" spans="1:22" ht="13.5" thickBot="1" x14ac:dyDescent="0.25">
      <c r="A9" s="8"/>
      <c r="B9" s="9" t="s">
        <v>7</v>
      </c>
      <c r="C9" s="9" t="s">
        <v>8</v>
      </c>
      <c r="D9" s="9" t="s">
        <v>10</v>
      </c>
      <c r="E9" s="9" t="s">
        <v>46</v>
      </c>
      <c r="F9" s="8"/>
      <c r="G9" s="9" t="s">
        <v>15</v>
      </c>
      <c r="H9" s="9" t="s">
        <v>49</v>
      </c>
      <c r="I9" s="9" t="s">
        <v>15</v>
      </c>
      <c r="J9" s="9" t="s">
        <v>48</v>
      </c>
    </row>
    <row r="10" spans="1:22" ht="13.5" thickBot="1" x14ac:dyDescent="0.25">
      <c r="B10" s="13">
        <v>1179.8</v>
      </c>
      <c r="C10" s="14">
        <v>1018.5</v>
      </c>
      <c r="D10" s="14">
        <v>5427.1</v>
      </c>
      <c r="E10" s="15">
        <v>5.5549999999999997</v>
      </c>
      <c r="F10" s="8"/>
      <c r="G10" s="10">
        <f>+Comps!M3</f>
        <v>27384.2</v>
      </c>
      <c r="H10" s="10">
        <v>4232.5</v>
      </c>
      <c r="I10" s="10">
        <f>H10+G10</f>
        <v>31616.7</v>
      </c>
      <c r="J10" s="10">
        <v>134.30000000000001</v>
      </c>
    </row>
    <row r="12" spans="1:22" x14ac:dyDescent="0.2">
      <c r="B12" s="9" t="s">
        <v>71</v>
      </c>
    </row>
    <row r="13" spans="1:22" x14ac:dyDescent="0.2">
      <c r="A13" s="27" t="s">
        <v>99</v>
      </c>
      <c r="B13" s="21">
        <f>+(B3*B10-H10)/J10</f>
        <v>140.65839492205529</v>
      </c>
    </row>
    <row r="14" spans="1:22" x14ac:dyDescent="0.2">
      <c r="A14" s="27" t="s">
        <v>100</v>
      </c>
      <c r="B14" s="21">
        <f>+(C10*B4-H10)/J10</f>
        <v>141.5839361299042</v>
      </c>
    </row>
    <row r="15" spans="1:22" x14ac:dyDescent="0.2">
      <c r="A15" s="27" t="s">
        <v>101</v>
      </c>
      <c r="B15" s="21">
        <f>(D10*B5-H10)/J10</f>
        <v>116.21591554636758</v>
      </c>
    </row>
    <row r="16" spans="1:22" x14ac:dyDescent="0.2">
      <c r="A16" s="27" t="s">
        <v>102</v>
      </c>
      <c r="B16" s="21">
        <f>E10*B6</f>
        <v>140.66221302120854</v>
      </c>
    </row>
    <row r="18" spans="1:2" x14ac:dyDescent="0.2">
      <c r="A18" s="9" t="s">
        <v>104</v>
      </c>
      <c r="B18" s="8">
        <v>206.5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D58108A6E984C8BFE62DFA2DFF5F5" ma:contentTypeVersion="10" ma:contentTypeDescription="Create a new document." ma:contentTypeScope="" ma:versionID="29d981b0c53cda4a51e230d1d34d4427">
  <xsd:schema xmlns:xsd="http://www.w3.org/2001/XMLSchema" xmlns:xs="http://www.w3.org/2001/XMLSchema" xmlns:p="http://schemas.microsoft.com/office/2006/metadata/properties" xmlns:ns3="ae0e20d5-9461-4c10-9964-990d847ef4a4" targetNamespace="http://schemas.microsoft.com/office/2006/metadata/properties" ma:root="true" ma:fieldsID="83af45b8346b3167b397d0398c58e186" ns3:_="">
    <xsd:import namespace="ae0e20d5-9461-4c10-9964-990d847ef4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e20d5-9461-4c10-9964-990d847ef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C5824B-6A31-4B1E-B584-31D013A6F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0e20d5-9461-4c10-9964-990d847ef4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79712-2567-4825-9BC5-4451EBD07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A2D91-CB0D-464F-A8E8-A6847D234B9E}">
  <ds:schemaRefs>
    <ds:schemaRef ds:uri="http://www.w3.org/XML/1998/namespace"/>
    <ds:schemaRef ds:uri="http://purl.org/dc/terms/"/>
    <ds:schemaRef ds:uri="http://purl.org/dc/dcmitype/"/>
    <ds:schemaRef ds:uri="ae0e20d5-9461-4c10-9964-990d847ef4a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Mean</vt:lpstr>
      <vt:lpstr>Comps</vt:lpstr>
      <vt:lpstr>Time Series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FactSet Research Systems</dc:creator>
  <cp:keywords/>
  <dc:description/>
  <cp:lastModifiedBy>Jakotowicz, Richard Christopher, JR</cp:lastModifiedBy>
  <dcterms:created xsi:type="dcterms:W3CDTF">2020-08-27T15:08:16Z</dcterms:created>
  <dcterms:modified xsi:type="dcterms:W3CDTF">2020-08-27T15:08:16Z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0x010100E4AD58108A6E984C8BFE62DFA2DFF5F5</vt:lpwstr>
  </property>
</Properties>
</file>