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ttps://udwinprod-my.sharepoint.com/personal/richj_udel_edu/Documents/FINC419 Valuation/Fall 2020/"/>
    </mc:Choice>
  </mc:AlternateContent>
  <bookViews>
    <workbookView xWindow="0" yWindow="0" windowWidth="20430" windowHeight="7530" tabRatio="736" firstSheet="1" activeTab="1"/>
  </bookViews>
  <sheets>
    <sheet name="BoostToolkitClipBoard2010" sheetId="11" state="veryHidden" r:id="rId1"/>
    <sheet name="Proforma" sheetId="48" r:id="rId2"/>
  </sheets>
  <externalReferences>
    <externalReference r:id="rId3"/>
    <externalReference r:id="rId4"/>
  </externalReferences>
  <definedNames>
    <definedName name="CIQWBGuid" hidden="1">"a611639b-bab1-425e-aaa5-008c326fdfdb"</definedName>
    <definedName name="Inv_Cap">[1]Results!$E$182:$AD$182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41451.5654050926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ame">#REF!</definedName>
    <definedName name="NOPLAT">[1]Results!$E$145:$AD$145</definedName>
    <definedName name="One">'[1]Forecast Drivers'!$D$330</definedName>
    <definedName name="Products">[2]Array0!$B$5:$C$7</definedName>
    <definedName name="Rev">'[1]Forecast Drivers'!$E$25:$S$25</definedName>
    <definedName name="Revenue">#REF!</definedName>
  </definedNames>
  <calcPr calcId="162913" iterate="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48" l="1"/>
  <c r="F25" i="48"/>
  <c r="G109" i="48"/>
  <c r="H109" i="48"/>
  <c r="I109" i="48"/>
  <c r="J109" i="48"/>
  <c r="F109" i="48"/>
  <c r="I179" i="48" l="1"/>
  <c r="H179" i="48" l="1"/>
  <c r="F178" i="48"/>
  <c r="F179" i="48"/>
  <c r="F180" i="48"/>
  <c r="F177" i="48"/>
  <c r="J178" i="48"/>
  <c r="I178" i="48"/>
  <c r="H180" i="48"/>
  <c r="H177" i="48"/>
  <c r="G180" i="48"/>
  <c r="G178" i="48"/>
  <c r="G179" i="48"/>
  <c r="J180" i="48"/>
  <c r="J177" i="48"/>
  <c r="I180" i="48"/>
  <c r="I177" i="48"/>
  <c r="H178" i="48"/>
  <c r="G177" i="48"/>
  <c r="J179" i="48"/>
  <c r="E96" i="48"/>
  <c r="E41" i="48"/>
  <c r="E32" i="48"/>
  <c r="D32" i="48"/>
  <c r="E33" i="48" l="1"/>
  <c r="G39" i="48"/>
  <c r="H39" i="48"/>
  <c r="I39" i="48"/>
  <c r="J39" i="48"/>
  <c r="G41" i="48"/>
  <c r="H41" i="48"/>
  <c r="I41" i="48"/>
  <c r="J41" i="48"/>
  <c r="G25" i="48"/>
  <c r="H25" i="48"/>
  <c r="I25" i="48"/>
  <c r="J25" i="48"/>
  <c r="F41" i="48"/>
  <c r="F40" i="48" s="1"/>
  <c r="F39" i="48"/>
  <c r="F38" i="48" s="1"/>
  <c r="G37" i="48"/>
  <c r="H37" i="48"/>
  <c r="I37" i="48"/>
  <c r="J37" i="48"/>
  <c r="F37" i="48"/>
  <c r="F36" i="48" s="1"/>
  <c r="D158" i="48"/>
  <c r="E158" i="48"/>
  <c r="F156" i="48" s="1"/>
  <c r="D102" i="48"/>
  <c r="E102" i="48"/>
  <c r="G141" i="48"/>
  <c r="H141" i="48"/>
  <c r="I141" i="48"/>
  <c r="J141" i="48"/>
  <c r="F141" i="48"/>
  <c r="C58" i="48"/>
  <c r="C54" i="48"/>
  <c r="C49" i="48"/>
  <c r="C60" i="48" s="1"/>
  <c r="E166" i="48"/>
  <c r="F164" i="48" s="1"/>
  <c r="F150" i="48"/>
  <c r="G140" i="48"/>
  <c r="H140" i="48"/>
  <c r="I140" i="48"/>
  <c r="J140" i="48"/>
  <c r="F140" i="48"/>
  <c r="E120" i="48"/>
  <c r="F118" i="48" s="1"/>
  <c r="F120" i="48" s="1"/>
  <c r="D120" i="48"/>
  <c r="E109" i="48"/>
  <c r="D109" i="48"/>
  <c r="E107" i="48"/>
  <c r="F105" i="48" s="1"/>
  <c r="F107" i="48" s="1"/>
  <c r="D107" i="48"/>
  <c r="E99" i="48"/>
  <c r="F96" i="48" s="1"/>
  <c r="D99" i="48"/>
  <c r="F93" i="48"/>
  <c r="G93" i="48"/>
  <c r="H93" i="48"/>
  <c r="I93" i="48"/>
  <c r="J93" i="48"/>
  <c r="E90" i="48"/>
  <c r="F88" i="48" s="1"/>
  <c r="D90" i="48"/>
  <c r="D92" i="48"/>
  <c r="D93" i="48" s="1"/>
  <c r="E83" i="48"/>
  <c r="E85" i="48" s="1"/>
  <c r="D83" i="48"/>
  <c r="D85" i="48" s="1"/>
  <c r="G78" i="48"/>
  <c r="H78" i="48"/>
  <c r="I78" i="48"/>
  <c r="J78" i="48"/>
  <c r="F78" i="48"/>
  <c r="E75" i="48"/>
  <c r="F73" i="48" s="1"/>
  <c r="D75" i="48"/>
  <c r="E54" i="48"/>
  <c r="D54" i="48"/>
  <c r="E49" i="48"/>
  <c r="E39" i="48"/>
  <c r="E37" i="48"/>
  <c r="D166" i="48"/>
  <c r="D49" i="48"/>
  <c r="F97" i="48"/>
  <c r="G97" i="48"/>
  <c r="F137" i="48"/>
  <c r="F138" i="48"/>
  <c r="H137" i="48"/>
  <c r="G137" i="48"/>
  <c r="H97" i="48"/>
  <c r="I97" i="48"/>
  <c r="I137" i="48"/>
  <c r="I138" i="48" s="1"/>
  <c r="J137" i="48"/>
  <c r="J138" i="48" s="1"/>
  <c r="J97" i="48"/>
  <c r="H98" i="48"/>
  <c r="H131" i="48" s="1"/>
  <c r="I98" i="48"/>
  <c r="I131" i="48" s="1"/>
  <c r="J98" i="48"/>
  <c r="J131" i="48" s="1"/>
  <c r="G98" i="48"/>
  <c r="G131" i="48"/>
  <c r="F98" i="48"/>
  <c r="F131" i="48" s="1"/>
  <c r="G40" i="48" l="1"/>
  <c r="H40" i="48" s="1"/>
  <c r="I40" i="48" s="1"/>
  <c r="J40" i="48" s="1"/>
  <c r="H138" i="48"/>
  <c r="G138" i="48"/>
  <c r="F32" i="48"/>
  <c r="F33" i="48" s="1"/>
  <c r="E8" i="48"/>
  <c r="E67" i="48" s="1"/>
  <c r="G38" i="48"/>
  <c r="F99" i="48"/>
  <c r="F48" i="48" s="1"/>
  <c r="G36" i="48"/>
  <c r="D112" i="48"/>
  <c r="D8" i="48"/>
  <c r="G105" i="48"/>
  <c r="G107" i="48" s="1"/>
  <c r="E112" i="48"/>
  <c r="F81" i="48"/>
  <c r="E92" i="48"/>
  <c r="E93" i="48" s="1"/>
  <c r="F56" i="48"/>
  <c r="G118" i="48"/>
  <c r="G120" i="48" s="1"/>
  <c r="G53" i="48"/>
  <c r="H105" i="48"/>
  <c r="H107" i="48" s="1"/>
  <c r="F53" i="48"/>
  <c r="G32" i="48" l="1"/>
  <c r="G33" i="48" s="1"/>
  <c r="G24" i="48" s="1"/>
  <c r="E26" i="48"/>
  <c r="E27" i="48"/>
  <c r="G96" i="48"/>
  <c r="G99" i="48" s="1"/>
  <c r="H96" i="48" s="1"/>
  <c r="H99" i="48" s="1"/>
  <c r="E10" i="48"/>
  <c r="E13" i="48" s="1"/>
  <c r="E16" i="48" s="1"/>
  <c r="E17" i="48" s="1"/>
  <c r="E18" i="48" s="1"/>
  <c r="E64" i="48" s="1"/>
  <c r="E77" i="48"/>
  <c r="E78" i="48" s="1"/>
  <c r="H36" i="48"/>
  <c r="H38" i="48"/>
  <c r="D27" i="48"/>
  <c r="D77" i="48"/>
  <c r="D78" i="48" s="1"/>
  <c r="D26" i="48"/>
  <c r="D10" i="48"/>
  <c r="D67" i="48"/>
  <c r="E24" i="48"/>
  <c r="G48" i="48"/>
  <c r="H118" i="48"/>
  <c r="H120" i="48" s="1"/>
  <c r="G56" i="48"/>
  <c r="I105" i="48"/>
  <c r="I107" i="48" s="1"/>
  <c r="H53" i="48"/>
  <c r="E25" i="48" l="1"/>
  <c r="H32" i="48"/>
  <c r="H33" i="48" s="1"/>
  <c r="H24" i="48" s="1"/>
  <c r="E63" i="48"/>
  <c r="F8" i="48"/>
  <c r="E21" i="48"/>
  <c r="I38" i="48"/>
  <c r="I36" i="48"/>
  <c r="D13" i="48"/>
  <c r="D16" i="48" s="1"/>
  <c r="D25" i="48"/>
  <c r="J105" i="48"/>
  <c r="J107" i="48" s="1"/>
  <c r="I53" i="48"/>
  <c r="I96" i="48"/>
  <c r="I99" i="48" s="1"/>
  <c r="H48" i="48"/>
  <c r="H56" i="48"/>
  <c r="I118" i="48"/>
  <c r="I120" i="48" s="1"/>
  <c r="I32" i="48" l="1"/>
  <c r="I33" i="48" s="1"/>
  <c r="F11" i="48"/>
  <c r="F12" i="48"/>
  <c r="F10" i="48"/>
  <c r="F9" i="48" s="1"/>
  <c r="F90" i="48" s="1"/>
  <c r="F89" i="48" s="1"/>
  <c r="F134" i="48" s="1"/>
  <c r="G8" i="48"/>
  <c r="G10" i="48" s="1"/>
  <c r="G9" i="48" s="1"/>
  <c r="G90" i="48" s="1"/>
  <c r="F75" i="48"/>
  <c r="F46" i="48" s="1"/>
  <c r="J38" i="48"/>
  <c r="J36" i="48"/>
  <c r="D17" i="48"/>
  <c r="D18" i="48" s="1"/>
  <c r="I56" i="48"/>
  <c r="J118" i="48"/>
  <c r="J120" i="48" s="1"/>
  <c r="J56" i="48" s="1"/>
  <c r="I48" i="48"/>
  <c r="J96" i="48"/>
  <c r="J99" i="48" s="1"/>
  <c r="J48" i="48" s="1"/>
  <c r="J53" i="48"/>
  <c r="J32" i="48" l="1"/>
  <c r="J33" i="48" s="1"/>
  <c r="G12" i="48"/>
  <c r="G75" i="48"/>
  <c r="G46" i="48" s="1"/>
  <c r="G11" i="48"/>
  <c r="F51" i="48"/>
  <c r="G51" i="48"/>
  <c r="H88" i="48"/>
  <c r="G83" i="48"/>
  <c r="G47" i="48" s="1"/>
  <c r="G88" i="48"/>
  <c r="G89" i="48" s="1"/>
  <c r="G134" i="48" s="1"/>
  <c r="F83" i="48"/>
  <c r="G81" i="48" s="1"/>
  <c r="F13" i="48"/>
  <c r="F74" i="48"/>
  <c r="F132" i="48" s="1"/>
  <c r="G73" i="48"/>
  <c r="H8" i="48"/>
  <c r="I24" i="48"/>
  <c r="D63" i="48"/>
  <c r="D57" i="48"/>
  <c r="D64" i="48"/>
  <c r="D21" i="48"/>
  <c r="G13" i="48" l="1"/>
  <c r="G74" i="48"/>
  <c r="G132" i="48" s="1"/>
  <c r="H73" i="48"/>
  <c r="H81" i="48"/>
  <c r="I8" i="48"/>
  <c r="I11" i="48" s="1"/>
  <c r="H11" i="48"/>
  <c r="H75" i="48"/>
  <c r="H10" i="48"/>
  <c r="F82" i="48"/>
  <c r="F133" i="48" s="1"/>
  <c r="F47" i="48"/>
  <c r="G82" i="48"/>
  <c r="G133" i="48" s="1"/>
  <c r="H12" i="48"/>
  <c r="J24" i="48"/>
  <c r="E57" i="48"/>
  <c r="D126" i="48"/>
  <c r="D58" i="48"/>
  <c r="I12" i="48" l="1"/>
  <c r="I75" i="48"/>
  <c r="I46" i="48" s="1"/>
  <c r="J8" i="48"/>
  <c r="J10" i="48" s="1"/>
  <c r="J9" i="48" s="1"/>
  <c r="I10" i="48"/>
  <c r="I9" i="48" s="1"/>
  <c r="H9" i="48"/>
  <c r="H13" i="48"/>
  <c r="H46" i="48"/>
  <c r="I73" i="48"/>
  <c r="H74" i="48"/>
  <c r="H132" i="48" s="1"/>
  <c r="E126" i="48"/>
  <c r="F123" i="48" s="1"/>
  <c r="E58" i="48"/>
  <c r="D66" i="48"/>
  <c r="D60" i="48"/>
  <c r="D65" i="48"/>
  <c r="I13" i="48" l="1"/>
  <c r="J75" i="48"/>
  <c r="J46" i="48" s="1"/>
  <c r="J11" i="48"/>
  <c r="J73" i="48"/>
  <c r="J12" i="48"/>
  <c r="I74" i="48"/>
  <c r="I132" i="48" s="1"/>
  <c r="H90" i="48"/>
  <c r="H83" i="48"/>
  <c r="I90" i="48"/>
  <c r="I83" i="48"/>
  <c r="J83" i="48"/>
  <c r="J90" i="48"/>
  <c r="E66" i="48"/>
  <c r="E60" i="48"/>
  <c r="E65" i="48"/>
  <c r="J13" i="48" l="1"/>
  <c r="J74" i="48"/>
  <c r="J132" i="48" s="1"/>
  <c r="I81" i="48"/>
  <c r="I82" i="48" s="1"/>
  <c r="I133" i="48" s="1"/>
  <c r="H47" i="48"/>
  <c r="H82" i="48"/>
  <c r="H133" i="48" s="1"/>
  <c r="H51" i="48"/>
  <c r="H89" i="48"/>
  <c r="H134" i="48" s="1"/>
  <c r="I88" i="48"/>
  <c r="I89" i="48" s="1"/>
  <c r="I134" i="48" s="1"/>
  <c r="J47" i="48"/>
  <c r="J51" i="48"/>
  <c r="J81" i="48"/>
  <c r="J82" i="48" s="1"/>
  <c r="J133" i="48" s="1"/>
  <c r="I47" i="48"/>
  <c r="I51" i="48"/>
  <c r="J88" i="48"/>
  <c r="J89" i="48" s="1"/>
  <c r="J134" i="48" s="1"/>
  <c r="J14" i="48" l="1"/>
  <c r="F161" i="48"/>
  <c r="F15" i="48" s="1"/>
  <c r="F169" i="48"/>
  <c r="F14" i="48" s="1"/>
  <c r="G169" i="48"/>
  <c r="G14" i="48" s="1"/>
  <c r="H169" i="48"/>
  <c r="H14" i="48" s="1"/>
  <c r="I169" i="48"/>
  <c r="I14" i="48" s="1"/>
  <c r="J169" i="48"/>
  <c r="F16" i="48" l="1"/>
  <c r="F17" i="48" s="1"/>
  <c r="F18" i="48" s="1"/>
  <c r="F124" i="48" l="1"/>
  <c r="F126" i="48" s="1"/>
  <c r="F21" i="48"/>
  <c r="C200" i="48" s="1"/>
  <c r="F63" i="48"/>
  <c r="F130" i="48"/>
  <c r="F135" i="48" s="1"/>
  <c r="F151" i="48" l="1"/>
  <c r="F153" i="48" s="1"/>
  <c r="F157" i="48" s="1"/>
  <c r="G123" i="48"/>
  <c r="F57" i="48"/>
  <c r="F58" i="48" s="1"/>
  <c r="F65" i="48" s="1"/>
  <c r="F142" i="48" l="1"/>
  <c r="F143" i="48" s="1"/>
  <c r="F145" i="48" s="1"/>
  <c r="F45" i="48" s="1"/>
  <c r="F158" i="48"/>
  <c r="F52" i="48" l="1"/>
  <c r="G156" i="48"/>
  <c r="G150" i="48"/>
  <c r="F166" i="48"/>
  <c r="F49" i="48"/>
  <c r="F66" i="48" l="1"/>
  <c r="F54" i="48"/>
  <c r="F67" i="48"/>
  <c r="F60" i="48"/>
  <c r="F112" i="48"/>
  <c r="F64" i="48"/>
  <c r="F165" i="48"/>
  <c r="G164" i="48"/>
  <c r="G15" i="48"/>
  <c r="H15" i="48"/>
  <c r="I15" i="48"/>
  <c r="J15" i="48"/>
  <c r="G16" i="48"/>
  <c r="H16" i="48"/>
  <c r="I16" i="48"/>
  <c r="J16" i="48"/>
  <c r="G17" i="48"/>
  <c r="H17" i="48"/>
  <c r="I17" i="48"/>
  <c r="J17" i="48"/>
  <c r="G18" i="48"/>
  <c r="H18" i="48"/>
  <c r="I18" i="48"/>
  <c r="J18" i="48"/>
  <c r="G21" i="48"/>
  <c r="H21" i="48"/>
  <c r="I21" i="48"/>
  <c r="J21" i="48"/>
  <c r="G45" i="48"/>
  <c r="H45" i="48"/>
  <c r="I45" i="48"/>
  <c r="J45" i="48"/>
  <c r="G49" i="48"/>
  <c r="H49" i="48"/>
  <c r="I49" i="48"/>
  <c r="J49" i="48"/>
  <c r="G52" i="48"/>
  <c r="H52" i="48"/>
  <c r="I52" i="48"/>
  <c r="J52" i="48"/>
  <c r="G54" i="48"/>
  <c r="H54" i="48"/>
  <c r="I54" i="48"/>
  <c r="J54" i="48"/>
  <c r="G57" i="48"/>
  <c r="H57" i="48"/>
  <c r="I57" i="48"/>
  <c r="J57" i="48"/>
  <c r="G58" i="48"/>
  <c r="H58" i="48"/>
  <c r="I58" i="48"/>
  <c r="J58" i="48"/>
  <c r="G60" i="48"/>
  <c r="H60" i="48"/>
  <c r="I60" i="48"/>
  <c r="J60" i="48"/>
  <c r="G63" i="48"/>
  <c r="H63" i="48"/>
  <c r="I63" i="48"/>
  <c r="J63" i="48"/>
  <c r="G64" i="48"/>
  <c r="H64" i="48"/>
  <c r="I64" i="48"/>
  <c r="J64" i="48"/>
  <c r="G65" i="48"/>
  <c r="H65" i="48"/>
  <c r="I65" i="48"/>
  <c r="J65" i="48"/>
  <c r="G66" i="48"/>
  <c r="H66" i="48"/>
  <c r="I66" i="48"/>
  <c r="J66" i="48"/>
  <c r="G67" i="48"/>
  <c r="H67" i="48"/>
  <c r="I67" i="48"/>
  <c r="J67" i="48"/>
  <c r="G112" i="48"/>
  <c r="H112" i="48"/>
  <c r="I112" i="48"/>
  <c r="J112" i="48"/>
  <c r="H123" i="48"/>
  <c r="I123" i="48"/>
  <c r="J123" i="48"/>
  <c r="G124" i="48"/>
  <c r="H124" i="48"/>
  <c r="I124" i="48"/>
  <c r="J124" i="48"/>
  <c r="G126" i="48"/>
  <c r="H126" i="48"/>
  <c r="I126" i="48"/>
  <c r="J126" i="48"/>
  <c r="G130" i="48"/>
  <c r="H130" i="48"/>
  <c r="I130" i="48"/>
  <c r="J130" i="48"/>
  <c r="G135" i="48"/>
  <c r="H135" i="48"/>
  <c r="I135" i="48"/>
  <c r="J135" i="48"/>
  <c r="G142" i="48"/>
  <c r="H142" i="48"/>
  <c r="I142" i="48"/>
  <c r="J142" i="48"/>
  <c r="G143" i="48"/>
  <c r="H143" i="48"/>
  <c r="I143" i="48"/>
  <c r="J143" i="48"/>
  <c r="G145" i="48"/>
  <c r="H145" i="48"/>
  <c r="I145" i="48"/>
  <c r="J145" i="48"/>
  <c r="H150" i="48"/>
  <c r="I150" i="48"/>
  <c r="J150" i="48"/>
  <c r="G151" i="48"/>
  <c r="H151" i="48"/>
  <c r="I151" i="48"/>
  <c r="J151" i="48"/>
  <c r="G153" i="48"/>
  <c r="H153" i="48"/>
  <c r="I153" i="48"/>
  <c r="J153" i="48"/>
  <c r="H156" i="48"/>
  <c r="I156" i="48"/>
  <c r="J156" i="48"/>
  <c r="G157" i="48"/>
  <c r="H157" i="48"/>
  <c r="I157" i="48"/>
  <c r="J157" i="48"/>
  <c r="G158" i="48"/>
  <c r="H158" i="48"/>
  <c r="I158" i="48"/>
  <c r="J158" i="48"/>
  <c r="G161" i="48"/>
  <c r="H161" i="48"/>
  <c r="I161" i="48"/>
  <c r="J161" i="48"/>
  <c r="H164" i="48"/>
  <c r="I164" i="48"/>
  <c r="J164" i="48"/>
  <c r="G165" i="48"/>
  <c r="H165" i="48"/>
  <c r="I165" i="48"/>
  <c r="J165" i="48"/>
  <c r="G166" i="48"/>
  <c r="H166" i="48"/>
  <c r="I166" i="48"/>
  <c r="J166" i="48"/>
</calcChain>
</file>

<file path=xl/comments1.xml><?xml version="1.0" encoding="utf-8"?>
<comments xmlns="http://schemas.openxmlformats.org/spreadsheetml/2006/main">
  <authors>
    <author>Wall Street Prep</author>
    <author>Windows User</author>
  </authors>
  <commentList>
    <comment ref="C3" authorId="0" shapeId="0">
      <text>
        <r>
          <rPr>
            <b/>
            <sz val="9"/>
            <color indexed="81"/>
            <rFont val="Tahoma"/>
            <family val="2"/>
          </rPr>
          <t>This will help us when Excel becomes unstable because of circular references with Interest Income and Interest Expenses
If you disable the circulartity, then turn it back ON, you allow Excel to reset itself</t>
        </r>
      </text>
    </comment>
    <comment ref="B12" authorId="1" shapeId="0">
      <text>
        <r>
          <rPr>
            <b/>
            <sz val="9"/>
            <color indexed="81"/>
            <rFont val="Tahoma"/>
            <family val="2"/>
          </rPr>
          <t>Depreciation is embedded in SG&amp;A</t>
        </r>
      </text>
    </comment>
    <comment ref="F14" authorId="1" shapeId="0">
      <text>
        <r>
          <rPr>
            <b/>
            <sz val="9"/>
            <color indexed="81"/>
            <rFont val="Tahoma"/>
            <family val="2"/>
          </rPr>
          <t>Leave blank until end - You will create a circular reference from the forecast below</t>
        </r>
      </text>
    </comment>
    <comment ref="F15" authorId="1" shapeId="0">
      <text>
        <r>
          <rPr>
            <b/>
            <sz val="9"/>
            <color indexed="81"/>
            <rFont val="Tahoma"/>
            <family val="2"/>
          </rPr>
          <t>Leave blank until end - You will create a circular reference from the forecast below</t>
        </r>
      </text>
    </comment>
    <comment ref="C48" authorId="1" shapeId="0">
      <text>
        <r>
          <rPr>
            <b/>
            <sz val="9"/>
            <color indexed="81"/>
            <rFont val="Tahoma"/>
            <family val="2"/>
          </rPr>
          <t>Depreciates 10% per year for 10 years</t>
        </r>
      </text>
    </comment>
    <comment ref="F142" authorId="1" shapeId="0">
      <text>
        <r>
          <rPr>
            <b/>
            <sz val="9"/>
            <color indexed="81"/>
            <rFont val="Tahoma"/>
            <family val="2"/>
          </rPr>
          <t xml:space="preserve">Leave blank untill end.  </t>
        </r>
      </text>
    </comment>
    <comment ref="F145" authorId="1" shapeId="0">
      <text>
        <r>
          <rPr>
            <b/>
            <sz val="9"/>
            <color indexed="81"/>
            <rFont val="Tahoma"/>
            <family val="2"/>
          </rPr>
          <t>posititves go to cash.  Negatives draw on the revolver</t>
        </r>
      </text>
    </comment>
    <comment ref="B151" authorId="1" shapeId="0">
      <text>
        <r>
          <rPr>
            <b/>
            <sz val="9"/>
            <color indexed="81"/>
            <rFont val="Tahoma"/>
            <family val="2"/>
          </rPr>
          <t>Use CF STMNT but do NOT include REVOLVER!</t>
        </r>
      </text>
    </comment>
    <comment ref="B152" authorId="1" shapeId="0">
      <text>
        <r>
          <rPr>
            <b/>
            <sz val="9"/>
            <color indexed="81"/>
            <rFont val="Tahoma"/>
            <family val="2"/>
          </rPr>
          <t>Company preference for the minimum amount of cash that is acceptable.  You determine this in the model</t>
        </r>
      </text>
    </comment>
  </commentList>
</comments>
</file>

<file path=xl/sharedStrings.xml><?xml version="1.0" encoding="utf-8"?>
<sst xmlns="http://schemas.openxmlformats.org/spreadsheetml/2006/main" count="220" uniqueCount="132">
  <si>
    <t>Disable Circularity?</t>
  </si>
  <si>
    <t>Revenue</t>
  </si>
  <si>
    <t>Cost of goods sold (enter as -)</t>
  </si>
  <si>
    <t>ENABLE ITERATICE CALCULATIONS by going to File/Options/Formulas and check the box to "enable itaerations"</t>
  </si>
  <si>
    <t>INCOME STATEMENT</t>
  </si>
  <si>
    <t>3 years ago</t>
  </si>
  <si>
    <t>2 years ago</t>
  </si>
  <si>
    <t>Last year</t>
  </si>
  <si>
    <t>1 year forecast</t>
  </si>
  <si>
    <t>2 years from now</t>
  </si>
  <si>
    <t>3 years from now</t>
  </si>
  <si>
    <t>4 years from now</t>
  </si>
  <si>
    <t>5 years from now</t>
  </si>
  <si>
    <t>Gross Profit</t>
  </si>
  <si>
    <t>Research &amp; development costs (enter as -)</t>
  </si>
  <si>
    <t>Selling, general &amp; administrative costs (enter as -)</t>
  </si>
  <si>
    <t>Operating profit (EBIT)</t>
  </si>
  <si>
    <t>Interest income</t>
  </si>
  <si>
    <t>Interest expense (enter as -)</t>
  </si>
  <si>
    <t>Pretax profit</t>
  </si>
  <si>
    <t>Taxes (enter expense as -)</t>
  </si>
  <si>
    <t>Net income</t>
  </si>
  <si>
    <t>Basic shares outstanding</t>
  </si>
  <si>
    <t>Basic Earnings Per Share or EPS</t>
  </si>
  <si>
    <t>Growth rates &amp; margins</t>
  </si>
  <si>
    <t>Revenue growth</t>
  </si>
  <si>
    <t>Gross profit as % of sales (aka: Gross Margin)</t>
  </si>
  <si>
    <t>R&amp;D margin</t>
  </si>
  <si>
    <t>SG&amp;A margin</t>
  </si>
  <si>
    <t>Tax rate</t>
  </si>
  <si>
    <t>x</t>
  </si>
  <si>
    <t>SEGMENTS</t>
  </si>
  <si>
    <t>Dumplings</t>
  </si>
  <si>
    <t>Total</t>
  </si>
  <si>
    <t>% growth</t>
  </si>
  <si>
    <t>Other Items Growth Rate (Burrittos, Quesidillas, Tacos, etc)</t>
  </si>
  <si>
    <t>BALANCE SHEET</t>
  </si>
  <si>
    <t xml:space="preserve">Cash </t>
  </si>
  <si>
    <t>Accounts receivable</t>
  </si>
  <si>
    <t>Inventory</t>
  </si>
  <si>
    <t>Property, plant &amp; equipment (the Cart)</t>
  </si>
  <si>
    <t>Total assets</t>
  </si>
  <si>
    <t>Accounts payable</t>
  </si>
  <si>
    <t>Revolver</t>
  </si>
  <si>
    <t xml:space="preserve">ST and Long term debt </t>
  </si>
  <si>
    <t>Total liabilities</t>
  </si>
  <si>
    <t>Common stock issuance / additional paid in capital</t>
  </si>
  <si>
    <t>Retained earnings / accumulated deficit</t>
  </si>
  <si>
    <t>Total equity</t>
  </si>
  <si>
    <t>Balance check</t>
  </si>
  <si>
    <t>Ratios</t>
  </si>
  <si>
    <t>Net profit margin</t>
  </si>
  <si>
    <t>Return on assets (ROA)</t>
  </si>
  <si>
    <t>Return on book equity (ROE)</t>
  </si>
  <si>
    <t>Debt to Equity</t>
  </si>
  <si>
    <t xml:space="preserve">Asset turnover </t>
  </si>
  <si>
    <t>WORKING CAPITAL</t>
  </si>
  <si>
    <t>Beginning of period</t>
  </si>
  <si>
    <t>Increases / (decreases)</t>
  </si>
  <si>
    <t>End of period</t>
  </si>
  <si>
    <t>AR as % of sales</t>
  </si>
  <si>
    <t>Days sales outstanding (DSO)</t>
  </si>
  <si>
    <t xml:space="preserve">Inventory </t>
  </si>
  <si>
    <t>Inventory as % of COGS</t>
  </si>
  <si>
    <t>AP as % of COGS</t>
  </si>
  <si>
    <t>Days payables outstanding (DPO)</t>
  </si>
  <si>
    <t>PROPERTY, PLANT &amp; EQUIPMENT</t>
  </si>
  <si>
    <t>Plus: Capital expenditures</t>
  </si>
  <si>
    <t>Less: Depreciation</t>
  </si>
  <si>
    <t>Capex (enter as +)</t>
  </si>
  <si>
    <t>Depreciation (enter as -)</t>
  </si>
  <si>
    <t xml:space="preserve">ST &amp; Long term debt </t>
  </si>
  <si>
    <t xml:space="preserve">Additional borrowing / (pay down) </t>
  </si>
  <si>
    <t>Interest expense on debt</t>
  </si>
  <si>
    <t>Weighted average interest rate</t>
  </si>
  <si>
    <t xml:space="preserve">  Debt as % of total assets</t>
  </si>
  <si>
    <t>CAPITAL STOCK</t>
  </si>
  <si>
    <t>Plus: new share issuance proceeds</t>
  </si>
  <si>
    <t>Retained earnings</t>
  </si>
  <si>
    <t>Plus: Net income</t>
  </si>
  <si>
    <t>Less: Common dividends</t>
  </si>
  <si>
    <t>CASH FLOW STATEMENT</t>
  </si>
  <si>
    <t xml:space="preserve"> + Depreciation </t>
  </si>
  <si>
    <t xml:space="preserve"> - Increase in Accounts receivable</t>
  </si>
  <si>
    <t>Increases in Assets use Cash</t>
  </si>
  <si>
    <t xml:space="preserve"> - Increase in Inventory</t>
  </si>
  <si>
    <t xml:space="preserve">     Increases are - and decreases are +</t>
  </si>
  <si>
    <t xml:space="preserve"> + Increase in Accounts payable</t>
  </si>
  <si>
    <t>Increases in Liabilities create Cash</t>
  </si>
  <si>
    <t>Cash from operating activities</t>
  </si>
  <si>
    <t xml:space="preserve">     Increases are + and decreases are -</t>
  </si>
  <si>
    <t xml:space="preserve"> - Capital expenditures</t>
  </si>
  <si>
    <t>Cash from investing activities</t>
  </si>
  <si>
    <t xml:space="preserve"> + Increase in ST and Long Term Debt</t>
  </si>
  <si>
    <t xml:space="preserve"> + Increase in New share issuances</t>
  </si>
  <si>
    <t xml:space="preserve"> + Increase in Revolver</t>
  </si>
  <si>
    <t>Cash from financing activities</t>
  </si>
  <si>
    <t>Net change in cash during period</t>
  </si>
  <si>
    <t>MODEL PLUG: REVOLVER &amp; CASH</t>
  </si>
  <si>
    <t>Revolver needs analysis</t>
  </si>
  <si>
    <t>Beginning of period Cash</t>
  </si>
  <si>
    <t>Plus: Positive free cash flows generated during period</t>
  </si>
  <si>
    <t>Less: Minimum cash desired</t>
  </si>
  <si>
    <t>Equals: Cash available (needed) to paydown (draw from) revolver</t>
  </si>
  <si>
    <t>Interest rate on revolver</t>
  </si>
  <si>
    <t>Interest expense</t>
  </si>
  <si>
    <t>Cash</t>
  </si>
  <si>
    <t>+/- additions</t>
  </si>
  <si>
    <t>Interest rate on cash</t>
  </si>
  <si>
    <t>SCENARIO ANALYSIS</t>
  </si>
  <si>
    <t>Current Year</t>
  </si>
  <si>
    <t>Select an operating scenario:</t>
  </si>
  <si>
    <t>Bull case</t>
  </si>
  <si>
    <t>Base case</t>
  </si>
  <si>
    <t>Bear case</t>
  </si>
  <si>
    <t>Year 1 Revenue Growth Rate</t>
  </si>
  <si>
    <t>Year 1</t>
  </si>
  <si>
    <t>Profit Margin</t>
  </si>
  <si>
    <t>2 year forecast</t>
  </si>
  <si>
    <t>3 year forecast</t>
  </si>
  <si>
    <t>4 year forecast</t>
  </si>
  <si>
    <t>5 year forecast</t>
  </si>
  <si>
    <t>Segment Sales</t>
  </si>
  <si>
    <t>Combined Sales</t>
  </si>
  <si>
    <t>Rice Bowls</t>
  </si>
  <si>
    <t>Dumpling Growth %</t>
  </si>
  <si>
    <t>Rice Bowl Growth %</t>
  </si>
  <si>
    <t xml:space="preserve">Other Items Growth % </t>
  </si>
  <si>
    <t xml:space="preserve">Other Item Growth  % </t>
  </si>
  <si>
    <t>Gross margin</t>
  </si>
  <si>
    <t>Base Case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</si>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</sst>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_);\(#,##0.0\);@_)"/>
    <numFmt numFmtId="165" formatCode="0000\P"/>
    <numFmt numFmtId="166" formatCode="0000\A"/>
    <numFmt numFmtId="167" formatCode="#,##0.00_);\(#,##0\)"/>
    <numFmt numFmtId="168" formatCode="#,##0.0%_);\(#,##0.0%\)"/>
    <numFmt numFmtId="169" formatCode="0.0\ \x"/>
    <numFmt numFmtId="170" formatCode="#,##0.00\ ;\(#,##0.00\)"/>
    <numFmt numFmtId="171" formatCode="&quot;$&quot;#,##0.00\ ;\(&quot;$&quot;#,##0.00\)"/>
    <numFmt numFmtId="172" formatCode="0.0%_);\(0.0%\)"/>
    <numFmt numFmtId="173" formatCode="0.000\ \x&quot;rate&quot;"/>
    <numFmt numFmtId="174" formatCode="#,##0.000_);[Red]\(#,##0.000\)"/>
    <numFmt numFmtId="175" formatCode="0.00_);\(0.00\);0.00"/>
    <numFmt numFmtId="176" formatCode="\C&quot;$&quot;#,##0.00_);[Red]\(&quot;$&quot;#,##0.00\)"/>
    <numFmt numFmtId="177" formatCode="#,##0%_);\(#,##0.0%\)"/>
    <numFmt numFmtId="178" formatCode="_(* #,##0.00000000_);_(* \(#,##0.00000000\);_(* &quot;-&quot;?_);_(@_)"/>
    <numFmt numFmtId="179" formatCode="mmm\-d\-yyyy"/>
    <numFmt numFmtId="180" formatCode="mmm\-yyyy"/>
    <numFmt numFmtId="181" formatCode="yyyy"/>
    <numFmt numFmtId="182" formatCode="0.00\x&quot;rate&quot;"/>
    <numFmt numFmtId="183" formatCode="0.0&quot;  &quot;"/>
    <numFmt numFmtId="184" formatCode="&quot;$&quot;#,##0.0\ ;[Red]\(&quot;$&quot;#,##0\)"/>
    <numFmt numFmtId="185" formatCode="_(&quot;$&quot;* #,##0.00_);_(&quot;$&quot;* \(#,##0.00\);_(&quot;$&quot;* &quot;-&quot;?_);_(@_)"/>
    <numFmt numFmtId="186" formatCode="&quot;$&quot;#,##0.000_);[Red]\(&quot;$&quot;#,##0.000\)"/>
    <numFmt numFmtId="187" formatCode="&quot;$&quot;#,##0.00&quot;A&quot;;[Red]\(&quot;$&quot;#,##0.00\)&quot;A&quot;"/>
    <numFmt numFmtId="188" formatCode="#,##0.0\ ;[Red]\(&quot;$&quot;#,##0\)"/>
    <numFmt numFmtId="189" formatCode="&quot;$&quot;#,##0.00&quot;E&quot;;[Red]\(&quot;$&quot;#,##0.00\)&quot;E&quot;"/>
    <numFmt numFmtId="190" formatCode="_([$€-2]* #,##0.00_);_([$€-2]* \(#,##0.00\);_([$€-2]* &quot;-&quot;??_)"/>
    <numFmt numFmtId="191" formatCode="#,##0.00;\(#,##0.00\)"/>
    <numFmt numFmtId="192" formatCode=".%\,\(0.0%%;\t"/>
    <numFmt numFmtId="193" formatCode="#,##0.0_);[Red]\(#,##0.0\)"/>
    <numFmt numFmtId="194" formatCode="0.0%_);[Red]\(0.0%\)"/>
    <numFmt numFmtId="195" formatCode="0.00_);\(0.00\);0.00_)"/>
    <numFmt numFmtId="196" formatCode="0.0%"/>
    <numFmt numFmtId="197" formatCode="#,##0\x"/>
    <numFmt numFmtId="198" formatCode="&quot;TKR&quot;\ 0"/>
    <numFmt numFmtId="199" formatCode=".%\,\(0.%%;\t"/>
    <numFmt numFmtId="200" formatCode="&quot;$&quot;#,###.0\ \ "/>
    <numFmt numFmtId="201" formatCode="#,##0.00\x_);[Red]\(#,##0.00\x\)"/>
    <numFmt numFmtId="202" formatCode="#,##0.0_);\(#,##0.0\)"/>
    <numFmt numFmtId="203" formatCode="#,##0.000_);\(#,##0.000\)"/>
    <numFmt numFmtId="204" formatCode="#,##0.00\x_);[Red]\(#,##0.00\x\);&quot;--  &quot;"/>
    <numFmt numFmtId="205" formatCode="_(* #,##0.0_);_(* \(#,##0.0\);_(* &quot;-&quot;??_);_(@_)"/>
    <numFmt numFmtId="206" formatCode="0.0\x_);[Red]\(0.0\x\)"/>
    <numFmt numFmtId="207" formatCode="0.0\ "/>
    <numFmt numFmtId="208" formatCode="&quot;$&quot;#,##0.0;\(&quot;$&quot;#,##0.00\)"/>
    <numFmt numFmtId="209" formatCode="#,##0.00%_);\(#,##0.00%\)"/>
    <numFmt numFmtId="210" formatCode="0.00\%;\-0.00\%;0.00\%"/>
    <numFmt numFmtId="211" formatCode="0.0%\ ;\(0.0%\)"/>
    <numFmt numFmtId="212" formatCode="_(&quot;$&quot;* #,##0_);_(&quot;$&quot;* \(#,##0\);_(&quot;$&quot;* &quot;-&quot;??_);_(@_)"/>
    <numFmt numFmtId="213" formatCode="&quot;$&quot;0.00\ "/>
    <numFmt numFmtId="214" formatCode="0.0\ \ \ \ \ "/>
    <numFmt numFmtId="215" formatCode="0.00\x;\-0.00\x;0.00\x"/>
    <numFmt numFmtId="216" formatCode="&quot;$&quot;#,##0.000_);\(&quot;$&quot;#,##0.000\)"/>
    <numFmt numFmtId="217" formatCode="#,##0.0_);\(#,##0.0\);_(* &quot;-&quot;_)"/>
    <numFmt numFmtId="218" formatCode="_(&quot;$&quot;* #,##0.00_);_(&quot;$&quot;* \(#,##0.00\);_(* &quot;-&quot;_);_(@_)"/>
    <numFmt numFmtId="219" formatCode="0.00%_);[Red]\(0.00%\)"/>
    <numFmt numFmtId="220" formatCode="#,##0.0\x_);\(#,##0.0\x\)"/>
    <numFmt numFmtId="221" formatCode="#,##0.00\x_);\(#,##0.00\x\)"/>
    <numFmt numFmtId="222" formatCode="###0&quot;E&quot;_)"/>
    <numFmt numFmtId="224" formatCode="[&gt;1]&quot;10Q: &quot;0&quot; qtrs&quot;;&quot;10Q: &quot;0&quot; qtr&quot;"/>
    <numFmt numFmtId="225" formatCode="&quot;$&quot;#,##0.00_);[Red]\(&quot;$&quot;#,##0.00\);&quot;--  &quot;;_(@_)"/>
    <numFmt numFmtId="226" formatCode="mmm\-dd\-yy"/>
    <numFmt numFmtId="227" formatCode="mmm\-dd\-yyyy"/>
    <numFmt numFmtId="228" formatCode="#,##0.0_);[Red]\(#,##0.0\);&quot;--  &quot;"/>
    <numFmt numFmtId="229" formatCode="0.00\x"/>
    <numFmt numFmtId="230" formatCode="0.0&quot; years&quot;"/>
    <numFmt numFmtId="231" formatCode="0.0"/>
    <numFmt numFmtId="232" formatCode="m/d/yy;@"/>
    <numFmt numFmtId="234" formatCode="&quot;$&quot;#,##0.0_);\(&quot;$&quot;#,##0.0\)"/>
    <numFmt numFmtId="235" formatCode="0.0%_);\(0.0%\);@_)"/>
    <numFmt numFmtId="236" formatCode="0.00\x_);\(0.00\x\);@_)"/>
    <numFmt numFmtId="237" formatCode="0\ &quot;days&quot;"/>
    <numFmt numFmtId="238" formatCode="#,##0_);\(#,##0\);@_)"/>
    <numFmt numFmtId="239" formatCode="0%_);\(0%\);@_)"/>
    <numFmt numFmtId="240" formatCode="#,##0.0"/>
    <numFmt numFmtId="241" formatCode="_(* #,##0_);_(* \(#,##0\);_(* &quot;-&quot;??_);_(@_)"/>
  </numFmts>
  <fonts count="81">
    <font>
      <sz val="11"/>
      <color theme="1"/>
      <name val="Calibri"/>
      <family val="2"/>
      <scheme val="minor"/>
    </font>
    <font>
      <sz val="10"/>
      <name val="GillSans"/>
    </font>
    <font>
      <sz val="8"/>
      <color indexed="49"/>
      <name val="Times New Roman"/>
      <family val="1"/>
    </font>
    <font>
      <sz val="10"/>
      <name val="Arial"/>
      <family val="2"/>
    </font>
    <font>
      <sz val="10"/>
      <name val="Trebuchet MS"/>
      <family val="2"/>
    </font>
    <font>
      <sz val="11"/>
      <color indexed="8"/>
      <name val="Calibri"/>
      <family val="2"/>
    </font>
    <font>
      <sz val="11"/>
      <color indexed="9"/>
      <name val="Calibri"/>
      <family val="2"/>
    </font>
    <font>
      <sz val="11"/>
      <color indexed="20"/>
      <name val="Calibri"/>
      <family val="2"/>
    </font>
    <font>
      <sz val="8"/>
      <name val="Times New Roman"/>
      <family val="1"/>
    </font>
    <font>
      <sz val="10"/>
      <name val="Times New Roman"/>
      <family val="1"/>
    </font>
    <font>
      <b/>
      <sz val="18"/>
      <name val="Tms Rmn"/>
    </font>
    <font>
      <b/>
      <sz val="11"/>
      <color indexed="52"/>
      <name val="Calibri"/>
      <family val="2"/>
    </font>
    <font>
      <b/>
      <sz val="11"/>
      <color indexed="9"/>
      <name val="Calibri"/>
      <family val="2"/>
    </font>
    <font>
      <b/>
      <sz val="7"/>
      <name val="GillSans"/>
    </font>
    <font>
      <sz val="10"/>
      <name val="Geneva"/>
    </font>
    <font>
      <sz val="24"/>
      <name val="Arial"/>
      <family val="2"/>
    </font>
    <font>
      <sz val="8"/>
      <name val="Arial"/>
      <family val="2"/>
    </font>
    <font>
      <sz val="10"/>
      <name val="Helvetica"/>
      <family val="2"/>
    </font>
    <font>
      <b/>
      <sz val="8"/>
      <name val="Arial"/>
      <family val="2"/>
    </font>
    <font>
      <b/>
      <sz val="8"/>
      <name val="Times New Roman"/>
      <family val="1"/>
    </font>
    <font>
      <i/>
      <sz val="11"/>
      <color indexed="23"/>
      <name val="Calibri"/>
      <family val="2"/>
    </font>
    <font>
      <sz val="11"/>
      <color indexed="17"/>
      <name val="Calibri"/>
      <family val="2"/>
    </font>
    <font>
      <i/>
      <sz val="8"/>
      <color indexed="17"/>
      <name val="Times New Roman"/>
      <family val="1"/>
    </font>
    <font>
      <sz val="8"/>
      <color indexed="21"/>
      <name val="Arial"/>
      <family val="2"/>
    </font>
    <font>
      <b/>
      <sz val="15"/>
      <color indexed="56"/>
      <name val="Calibri"/>
      <family val="2"/>
    </font>
    <font>
      <b/>
      <sz val="13"/>
      <color indexed="56"/>
      <name val="Calibri"/>
      <family val="2"/>
    </font>
    <font>
      <b/>
      <sz val="11"/>
      <color indexed="56"/>
      <name val="Calibri"/>
      <family val="2"/>
    </font>
    <font>
      <sz val="10"/>
      <color indexed="12"/>
      <name val="Trebuchet MS"/>
      <family val="2"/>
    </font>
    <font>
      <sz val="10"/>
      <name val="MS Sans Serif"/>
      <family val="2"/>
    </font>
    <font>
      <sz val="11"/>
      <color indexed="62"/>
      <name val="Calibri"/>
      <family val="2"/>
    </font>
    <font>
      <b/>
      <sz val="10"/>
      <color indexed="9"/>
      <name val="Tms Rmn"/>
    </font>
    <font>
      <b/>
      <sz val="10"/>
      <name val="Arial"/>
      <family val="2"/>
    </font>
    <font>
      <sz val="11"/>
      <color indexed="52"/>
      <name val="Calibri"/>
      <family val="2"/>
    </font>
    <font>
      <sz val="8"/>
      <color indexed="18"/>
      <name val="Times New Roman"/>
      <family val="1"/>
    </font>
    <font>
      <sz val="11"/>
      <color indexed="60"/>
      <name val="Calibri"/>
      <family val="2"/>
    </font>
    <font>
      <b/>
      <sz val="11"/>
      <color indexed="63"/>
      <name val="Calibri"/>
      <family val="2"/>
    </font>
    <font>
      <sz val="10"/>
      <name val="Palatino"/>
    </font>
    <font>
      <sz val="12"/>
      <name val="Baskerville MT"/>
    </font>
    <font>
      <u/>
      <sz val="10"/>
      <name val="GillSans"/>
      <family val="2"/>
    </font>
    <font>
      <sz val="10"/>
      <name val="GillSans Light"/>
    </font>
    <font>
      <b/>
      <sz val="12"/>
      <name val="Arial"/>
      <family val="2"/>
    </font>
    <font>
      <b/>
      <sz val="16"/>
      <name val="Arial"/>
      <family val="2"/>
    </font>
    <font>
      <sz val="8"/>
      <name val="MS Sans Serif"/>
      <family val="2"/>
    </font>
    <font>
      <sz val="8.25"/>
      <color indexed="8"/>
      <name val="Arial"/>
      <family val="2"/>
    </font>
    <font>
      <b/>
      <u val="singleAccounting"/>
      <sz val="8"/>
      <color indexed="8"/>
      <name val="Arial"/>
      <family val="2"/>
    </font>
    <font>
      <sz val="8"/>
      <color indexed="8"/>
      <name val="Arial"/>
      <family val="2"/>
    </font>
    <font>
      <sz val="8"/>
      <color indexed="39"/>
      <name val="Arial"/>
      <family val="2"/>
    </font>
    <font>
      <sz val="7"/>
      <name val="Times New Roman"/>
      <family val="1"/>
    </font>
    <font>
      <sz val="7"/>
      <color indexed="17"/>
      <name val="Times New Roman"/>
      <family val="1"/>
    </font>
    <font>
      <sz val="7"/>
      <color indexed="18"/>
      <name val="Times New Roman"/>
      <family val="1"/>
    </font>
    <font>
      <b/>
      <sz val="12"/>
      <name val="GillSans"/>
      <family val="2"/>
    </font>
    <font>
      <b/>
      <sz val="18"/>
      <color indexed="56"/>
      <name val="Cambria"/>
      <family val="2"/>
    </font>
    <font>
      <b/>
      <sz val="11"/>
      <name val="GillSans"/>
    </font>
    <font>
      <b/>
      <sz val="8"/>
      <color indexed="18"/>
      <name val="Times New Roman"/>
      <family val="1"/>
    </font>
    <font>
      <i/>
      <sz val="8"/>
      <name val="Times New Roman"/>
      <family val="1"/>
    </font>
    <font>
      <u/>
      <sz val="11"/>
      <name val="GillSans"/>
      <family val="2"/>
    </font>
    <font>
      <b/>
      <sz val="11"/>
      <color indexed="8"/>
      <name val="Calibri"/>
      <family val="2"/>
    </font>
    <font>
      <sz val="11"/>
      <color indexed="10"/>
      <name val="Calibri"/>
      <family val="2"/>
    </font>
    <font>
      <b/>
      <sz val="9"/>
      <color indexed="81"/>
      <name val="Tahoma"/>
      <family val="2"/>
    </font>
    <font>
      <sz val="10"/>
      <color indexed="8"/>
      <name val="Arial"/>
      <family val="2"/>
    </font>
    <font>
      <b/>
      <sz val="8"/>
      <color indexed="8"/>
      <name val="Verdana"/>
      <family val="2"/>
    </font>
    <font>
      <sz val="8"/>
      <color indexed="12"/>
      <name val="Arial"/>
      <family val="2"/>
    </font>
    <font>
      <sz val="1"/>
      <color indexed="9"/>
      <name val="Symbol"/>
      <family val="1"/>
      <charset val="2"/>
    </font>
    <font>
      <sz val="11"/>
      <color indexed="8"/>
      <name val="Calibri"/>
      <family val="2"/>
      <scheme val="minor"/>
    </font>
    <font>
      <b/>
      <u val="singleAccounting"/>
      <sz val="8"/>
      <color indexed="8"/>
      <name val="Verdana"/>
      <family val="2"/>
    </font>
    <font>
      <b/>
      <sz val="10"/>
      <color indexed="9"/>
      <name val="Arial"/>
      <family val="2"/>
    </font>
    <font>
      <b/>
      <sz val="12"/>
      <color indexed="8"/>
      <name val="Verdana"/>
      <family val="2"/>
    </font>
    <font>
      <sz val="8"/>
      <color indexed="10"/>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3"/>
      <color indexed="8"/>
      <name val="Verdana"/>
      <family val="2"/>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u/>
      <sz val="11"/>
      <name val="Calibri"/>
      <family val="2"/>
      <scheme val="minor"/>
    </font>
    <font>
      <sz val="12"/>
      <color theme="1"/>
      <name val="Calibri"/>
      <family val="2"/>
      <scheme val="minor"/>
    </font>
    <font>
      <b/>
      <sz val="12"/>
      <color theme="1"/>
      <name val="Calibri"/>
      <family val="2"/>
      <scheme val="minor"/>
    </font>
  </fonts>
  <fills count="43">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8"/>
        <bgColor indexed="64"/>
      </patternFill>
    </fill>
    <fill>
      <patternFill patternType="solid">
        <fgColor indexed="13"/>
        <bgColor indexed="64"/>
      </patternFill>
    </fill>
    <fill>
      <patternFill patternType="solid">
        <fgColor indexed="26"/>
      </patternFill>
    </fill>
    <fill>
      <patternFill patternType="solid">
        <fgColor indexed="61"/>
        <bgColor indexed="64"/>
      </patternFill>
    </fill>
    <fill>
      <patternFill patternType="solid">
        <fgColor indexed="60"/>
        <bgColor indexed="64"/>
      </patternFill>
    </fill>
    <fill>
      <patternFill patternType="solid">
        <fgColor rgb="FF80808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thin">
        <color indexed="64"/>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bottom style="thick">
        <color indexed="64"/>
      </bottom>
      <diagonal/>
    </border>
    <border>
      <left/>
      <right/>
      <top style="thin">
        <color indexed="62"/>
      </top>
      <bottom style="double">
        <color indexed="62"/>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right style="hair">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s>
  <cellStyleXfs count="214">
    <xf numFmtId="0" fontId="0" fillId="0" borderId="0"/>
    <xf numFmtId="0" fontId="1" fillId="0" borderId="0"/>
    <xf numFmtId="167" fontId="1" fillId="0" borderId="0">
      <alignment horizontal="right"/>
    </xf>
    <xf numFmtId="168" fontId="1" fillId="2" borderId="0"/>
    <xf numFmtId="169" fontId="1" fillId="2" borderId="0"/>
    <xf numFmtId="168" fontId="1" fillId="2" borderId="0"/>
    <xf numFmtId="170" fontId="1" fillId="2" borderId="0"/>
    <xf numFmtId="171" fontId="1" fillId="2" borderId="0">
      <alignment horizontal="right"/>
    </xf>
    <xf numFmtId="172" fontId="2" fillId="0" borderId="0" applyFont="0" applyFill="0" applyBorder="0" applyAlignment="0" applyProtection="0"/>
    <xf numFmtId="0" fontId="3" fillId="0" borderId="0" applyNumberFormat="0" applyFont="0" applyFill="0" applyBorder="0" applyAlignment="0" applyProtection="0"/>
    <xf numFmtId="173"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4" fillId="0" borderId="0"/>
    <xf numFmtId="0" fontId="7" fillId="4" borderId="0" applyNumberFormat="0" applyBorder="0" applyAlignment="0" applyProtection="0"/>
    <xf numFmtId="174" fontId="8" fillId="0" borderId="0" applyFont="0" applyFill="0" applyBorder="0" applyAlignment="0" applyProtection="0"/>
    <xf numFmtId="38" fontId="8" fillId="0" borderId="0" applyFill="0" applyBorder="0" applyAlignment="0" applyProtection="0">
      <protection locked="0"/>
    </xf>
    <xf numFmtId="0" fontId="9" fillId="0" borderId="0"/>
    <xf numFmtId="37" fontId="10" fillId="0" borderId="0">
      <alignment horizontal="centerContinuous"/>
    </xf>
    <xf numFmtId="0" fontId="11" fillId="21" borderId="2" applyNumberFormat="0" applyAlignment="0" applyProtection="0"/>
    <xf numFmtId="174" fontId="8" fillId="0" borderId="0" applyFont="0" applyFill="0" applyBorder="0" applyAlignment="0" applyProtection="0">
      <protection locked="0"/>
    </xf>
    <xf numFmtId="174" fontId="8" fillId="0" borderId="3" applyFont="0" applyFill="0" applyAlignment="0" applyProtection="0"/>
    <xf numFmtId="0" fontId="12" fillId="22" borderId="4" applyNumberFormat="0" applyAlignment="0" applyProtection="0"/>
    <xf numFmtId="0" fontId="3" fillId="0" borderId="0">
      <alignment horizontal="center" wrapText="1"/>
      <protection hidden="1"/>
    </xf>
    <xf numFmtId="0" fontId="13" fillId="0" borderId="5" applyNumberFormat="0" applyFill="0" applyBorder="0" applyProtection="0">
      <alignment horizontal="left" vertical="center"/>
    </xf>
    <xf numFmtId="0" fontId="13" fillId="0" borderId="5" applyNumberFormat="0" applyFill="0" applyBorder="0" applyProtection="0">
      <alignment horizontal="right" vertical="center"/>
    </xf>
    <xf numFmtId="43" fontId="3" fillId="0" borderId="0" applyFont="0" applyFill="0" applyBorder="0" applyAlignment="0" applyProtection="0"/>
    <xf numFmtId="37" fontId="14" fillId="0" borderId="0" applyFont="0" applyFill="0" applyBorder="0" applyAlignment="0" applyProtection="0"/>
    <xf numFmtId="39" fontId="14" fillId="0" borderId="0" applyFont="0" applyFill="0" applyBorder="0" applyAlignment="0" applyProtection="0"/>
    <xf numFmtId="0" fontId="15" fillId="23" borderId="0">
      <alignment horizontal="center" vertical="center" wrapText="1"/>
    </xf>
    <xf numFmtId="175" fontId="3" fillId="0" borderId="0" applyFill="0" applyBorder="0">
      <alignment horizontal="right"/>
      <protection locked="0"/>
    </xf>
    <xf numFmtId="0" fontId="16" fillId="0" borderId="0" applyFont="0" applyFill="0" applyBorder="0" applyAlignment="0"/>
    <xf numFmtId="7" fontId="17" fillId="0" borderId="0" applyFont="0" applyFill="0" applyBorder="0" applyAlignment="0" applyProtection="0"/>
    <xf numFmtId="5" fontId="14" fillId="0" borderId="0" applyFont="0" applyFill="0" applyBorder="0" applyAlignment="0" applyProtection="0"/>
    <xf numFmtId="176" fontId="4" fillId="0" borderId="0" applyFill="0" applyBorder="0" applyProtection="0">
      <alignment horizontal="right"/>
    </xf>
    <xf numFmtId="177" fontId="1" fillId="2" borderId="6">
      <alignment horizontal="right"/>
    </xf>
    <xf numFmtId="178" fontId="1" fillId="2" borderId="6">
      <alignment horizontal="right"/>
    </xf>
    <xf numFmtId="177" fontId="1" fillId="2" borderId="6">
      <alignment horizontal="right"/>
    </xf>
    <xf numFmtId="15" fontId="18" fillId="0" borderId="0" applyFill="0" applyBorder="0" applyAlignment="0"/>
    <xf numFmtId="179" fontId="16" fillId="24" borderId="0" applyFont="0" applyFill="0" applyBorder="0" applyAlignment="0" applyProtection="0"/>
    <xf numFmtId="180" fontId="18" fillId="0" borderId="5"/>
    <xf numFmtId="14" fontId="19" fillId="0" borderId="0" applyFont="0" applyFill="0" applyBorder="0" applyAlignment="0" applyProtection="0">
      <alignment horizontal="center"/>
    </xf>
    <xf numFmtId="181" fontId="19" fillId="0" borderId="0" applyFont="0" applyFill="0" applyBorder="0" applyAlignment="0" applyProtection="0">
      <alignment horizontal="center"/>
    </xf>
    <xf numFmtId="182" fontId="4" fillId="0" borderId="0" applyFont="0" applyFill="0" applyBorder="0" applyAlignment="0" applyProtection="0"/>
    <xf numFmtId="8" fontId="8" fillId="0" borderId="0" applyFont="0" applyFill="0" applyBorder="0" applyAlignment="0" applyProtection="0"/>
    <xf numFmtId="6" fontId="8" fillId="0" borderId="0" applyFont="0" applyFill="0" applyBorder="0" applyAlignment="0" applyProtection="0">
      <alignment horizontal="right"/>
    </xf>
    <xf numFmtId="6" fontId="8" fillId="0" borderId="0" applyFont="0" applyFill="0" applyBorder="0" applyAlignment="0" applyProtection="0"/>
    <xf numFmtId="39" fontId="1" fillId="25" borderId="0"/>
    <xf numFmtId="7" fontId="1" fillId="25" borderId="0" applyBorder="0"/>
    <xf numFmtId="183" fontId="1" fillId="25" borderId="0"/>
    <xf numFmtId="184" fontId="1" fillId="0" borderId="0"/>
    <xf numFmtId="185" fontId="1" fillId="25" borderId="0"/>
    <xf numFmtId="186" fontId="1" fillId="25" borderId="0"/>
    <xf numFmtId="187" fontId="9" fillId="0" borderId="0" applyFont="0" applyFill="0" applyBorder="0" applyProtection="0">
      <alignment horizontal="left"/>
      <protection locked="0"/>
    </xf>
    <xf numFmtId="188" fontId="1" fillId="0" borderId="0"/>
    <xf numFmtId="189" fontId="9" fillId="0" borderId="0" applyFont="0" applyFill="0" applyBorder="0" applyProtection="0">
      <alignment horizontal="left"/>
      <protection locked="0"/>
    </xf>
    <xf numFmtId="190" fontId="3" fillId="0" borderId="0" applyFont="0" applyFill="0" applyBorder="0" applyAlignment="0" applyProtection="0"/>
    <xf numFmtId="0" fontId="20" fillId="0" borderId="0" applyNumberFormat="0" applyFill="0" applyBorder="0" applyAlignment="0" applyProtection="0"/>
    <xf numFmtId="172" fontId="1" fillId="0" borderId="7"/>
    <xf numFmtId="191" fontId="1" fillId="2" borderId="6">
      <alignment horizontal="right"/>
    </xf>
    <xf numFmtId="192" fontId="1" fillId="2" borderId="6">
      <alignment horizontal="right"/>
    </xf>
    <xf numFmtId="191" fontId="1" fillId="2" borderId="6">
      <alignment horizontal="right"/>
    </xf>
    <xf numFmtId="193" fontId="8" fillId="0" borderId="0" applyFill="0" applyBorder="0" applyAlignment="0" applyProtection="0">
      <protection locked="0"/>
    </xf>
    <xf numFmtId="0" fontId="21" fillId="5" borderId="0" applyNumberFormat="0" applyBorder="0" applyAlignment="0" applyProtection="0"/>
    <xf numFmtId="194" fontId="22" fillId="0" borderId="0" applyFill="0" applyBorder="0" applyAlignment="0" applyProtection="0"/>
    <xf numFmtId="172" fontId="23" fillId="0" borderId="0" applyAlignment="0">
      <alignment horizontal="left"/>
      <protection locked="0"/>
    </xf>
    <xf numFmtId="193" fontId="4" fillId="26" borderId="8" applyNumberFormat="0" applyFont="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193" fontId="27" fillId="0" borderId="0" applyNumberFormat="0" applyFill="0" applyBorder="0" applyAlignment="0" applyProtection="0"/>
    <xf numFmtId="0" fontId="28" fillId="0" borderId="0"/>
    <xf numFmtId="174" fontId="8" fillId="0" borderId="0" applyFont="0" applyFill="0" applyBorder="0" applyAlignment="0" applyProtection="0"/>
    <xf numFmtId="38" fontId="8" fillId="0" borderId="0" applyFill="0" applyBorder="0" applyAlignment="0" applyProtection="0">
      <alignment horizontal="right"/>
      <protection locked="0"/>
    </xf>
    <xf numFmtId="0" fontId="29" fillId="8" borderId="2" applyNumberFormat="0" applyAlignment="0" applyProtection="0"/>
    <xf numFmtId="0" fontId="16" fillId="24" borderId="0" applyFont="0" applyBorder="0" applyAlignment="0">
      <protection locked="0"/>
    </xf>
    <xf numFmtId="0" fontId="3" fillId="0" borderId="0" applyFill="0" applyBorder="0">
      <alignment horizontal="right"/>
      <protection locked="0"/>
    </xf>
    <xf numFmtId="17" fontId="30" fillId="27" borderId="0"/>
    <xf numFmtId="195" fontId="3" fillId="0" borderId="0" applyFill="0" applyBorder="0">
      <alignment horizontal="right"/>
      <protection locked="0"/>
    </xf>
    <xf numFmtId="0" fontId="31" fillId="28" borderId="12">
      <alignment horizontal="left" vertical="center" wrapText="1"/>
    </xf>
    <xf numFmtId="0" fontId="32" fillId="0" borderId="13" applyNumberFormat="0" applyFill="0" applyAlignment="0" applyProtection="0"/>
    <xf numFmtId="196" fontId="8" fillId="0" borderId="0" applyFont="0" applyFill="0" applyBorder="0" applyAlignment="0" applyProtection="0">
      <alignment horizontal="right"/>
    </xf>
    <xf numFmtId="197" fontId="1" fillId="0" borderId="0">
      <alignment horizontal="right"/>
    </xf>
    <xf numFmtId="198" fontId="1" fillId="25" borderId="0">
      <alignment horizontal="right"/>
    </xf>
    <xf numFmtId="199" fontId="1" fillId="0" borderId="0">
      <alignment horizontal="right"/>
    </xf>
    <xf numFmtId="197" fontId="1" fillId="0" borderId="0">
      <alignment horizontal="right"/>
    </xf>
    <xf numFmtId="172" fontId="33" fillId="0" borderId="0" applyFill="0" applyBorder="0" applyAlignment="0" applyProtection="0">
      <alignment horizontal="right"/>
    </xf>
    <xf numFmtId="172" fontId="33" fillId="0" borderId="0" applyFill="0" applyBorder="0" applyAlignment="0" applyProtection="0"/>
    <xf numFmtId="200" fontId="1" fillId="2" borderId="6">
      <alignment horizontal="right"/>
    </xf>
    <xf numFmtId="201" fontId="8" fillId="0" borderId="0" applyFont="0" applyFill="0" applyBorder="0" applyAlignment="0" applyProtection="0"/>
    <xf numFmtId="0" fontId="14" fillId="2" borderId="0" applyFont="0" applyBorder="0" applyAlignment="0" applyProtection="0">
      <alignment horizontal="right"/>
      <protection hidden="1"/>
    </xf>
    <xf numFmtId="0" fontId="34" fillId="26" borderId="0" applyNumberFormat="0" applyBorder="0" applyAlignment="0" applyProtection="0"/>
    <xf numFmtId="37" fontId="17" fillId="0" borderId="0" applyFont="0" applyFill="0" applyBorder="0" applyAlignment="0" applyProtection="0"/>
    <xf numFmtId="202" fontId="3" fillId="0" borderId="0" applyFont="0" applyFill="0" applyBorder="0" applyAlignment="0" applyProtection="0"/>
    <xf numFmtId="39" fontId="3" fillId="0" borderId="0" applyFont="0" applyFill="0" applyBorder="0" applyAlignment="0" applyProtection="0"/>
    <xf numFmtId="203" fontId="3" fillId="0" borderId="0" applyFont="0" applyFill="0" applyBorder="0" applyAlignment="0" applyProtection="0"/>
    <xf numFmtId="0" fontId="3" fillId="0" borderId="0"/>
    <xf numFmtId="0" fontId="18" fillId="0" borderId="0" applyNumberFormat="0" applyFill="0" applyBorder="0" applyAlignment="0" applyProtection="0"/>
    <xf numFmtId="0" fontId="16" fillId="0" borderId="0" applyFont="0" applyFill="0" applyBorder="0" applyAlignment="0" applyProtection="0"/>
    <xf numFmtId="204" fontId="16" fillId="0" borderId="0" applyFont="0" applyFill="0" applyBorder="0" applyAlignment="0" applyProtection="0"/>
    <xf numFmtId="0" fontId="5" fillId="29" borderId="14" applyNumberFormat="0" applyFont="0" applyAlignment="0" applyProtection="0"/>
    <xf numFmtId="0" fontId="14" fillId="0" borderId="0" applyFont="0" applyFill="0" applyBorder="0" applyAlignment="0" applyProtection="0"/>
    <xf numFmtId="205" fontId="3" fillId="0" borderId="0" applyFont="0" applyFill="0" applyBorder="0" applyAlignment="0" applyProtection="0"/>
    <xf numFmtId="0" fontId="14" fillId="0" borderId="0" applyFont="0" applyFill="0" applyBorder="0" applyAlignment="0" applyProtection="0"/>
    <xf numFmtId="0" fontId="35" fillId="21" borderId="15" applyNumberFormat="0" applyAlignment="0" applyProtection="0"/>
    <xf numFmtId="206" fontId="8" fillId="0" borderId="0" applyFont="0" applyFill="0" applyBorder="0" applyAlignment="0" applyProtection="0">
      <alignment horizontal="right"/>
    </xf>
    <xf numFmtId="0" fontId="36" fillId="0" borderId="0" applyNumberFormat="0" applyFill="0" applyBorder="0" applyAlignment="0" applyProtection="0"/>
    <xf numFmtId="0" fontId="16" fillId="0" borderId="0"/>
    <xf numFmtId="207" fontId="1" fillId="25" borderId="0"/>
    <xf numFmtId="9" fontId="8" fillId="0" borderId="0" applyFont="0" applyFill="0" applyBorder="0" applyAlignment="0" applyProtection="0">
      <alignment horizontal="right"/>
    </xf>
    <xf numFmtId="208" fontId="1" fillId="0" borderId="0"/>
    <xf numFmtId="0" fontId="3" fillId="0" borderId="0" applyFont="0" applyFill="0" applyBorder="0" applyAlignment="0"/>
    <xf numFmtId="168" fontId="3" fillId="0" borderId="0" applyFont="0" applyFill="0" applyBorder="0" applyAlignment="0" applyProtection="0"/>
    <xf numFmtId="209" fontId="3" fillId="0" borderId="0" applyFont="0" applyFill="0" applyBorder="0" applyAlignment="0" applyProtection="0"/>
    <xf numFmtId="210" fontId="3" fillId="0" borderId="0" applyFill="0" applyBorder="0">
      <alignment horizontal="right"/>
      <protection locked="0"/>
    </xf>
    <xf numFmtId="194" fontId="8" fillId="0" borderId="0" applyFont="0" applyFill="0" applyBorder="0" applyAlignment="0" applyProtection="0"/>
    <xf numFmtId="8" fontId="8" fillId="0" borderId="0" applyFont="0" applyFill="0" applyBorder="0" applyAlignment="0" applyProtection="0"/>
    <xf numFmtId="174" fontId="8" fillId="0" borderId="0" applyFont="0" applyFill="0" applyBorder="0" applyAlignment="0" applyProtection="0">
      <protection locked="0"/>
    </xf>
    <xf numFmtId="193" fontId="8" fillId="0" borderId="0" applyFill="0" applyBorder="0" applyAlignment="0" applyProtection="0"/>
    <xf numFmtId="38" fontId="8" fillId="0" borderId="0" applyFont="0" applyFill="0" applyBorder="0" applyAlignment="0" applyProtection="0"/>
    <xf numFmtId="170" fontId="1" fillId="2" borderId="16">
      <alignment horizontal="right"/>
    </xf>
    <xf numFmtId="211" fontId="37" fillId="2" borderId="0"/>
    <xf numFmtId="212" fontId="1" fillId="2" borderId="0"/>
    <xf numFmtId="0" fontId="38" fillId="0" borderId="0">
      <alignment horizontal="center"/>
    </xf>
    <xf numFmtId="0" fontId="1" fillId="0" borderId="5">
      <alignment horizontal="centerContinuous"/>
    </xf>
    <xf numFmtId="213" fontId="1" fillId="2" borderId="0">
      <alignment horizontal="right"/>
    </xf>
    <xf numFmtId="214" fontId="1" fillId="2" borderId="6">
      <alignment horizontal="right"/>
    </xf>
    <xf numFmtId="215" fontId="3" fillId="0" borderId="0">
      <alignment horizontal="right"/>
      <protection locked="0"/>
    </xf>
    <xf numFmtId="193" fontId="19" fillId="0" borderId="0" applyFont="0" applyFill="0" applyBorder="0" applyAlignment="0" applyProtection="0"/>
    <xf numFmtId="0" fontId="39" fillId="0" borderId="0" applyNumberFormat="0" applyFill="0" applyBorder="0" applyProtection="0">
      <alignment horizontal="right" vertical="center"/>
    </xf>
    <xf numFmtId="0" fontId="40" fillId="23" borderId="8">
      <alignment horizontal="center" vertical="center" wrapText="1"/>
      <protection hidden="1"/>
    </xf>
    <xf numFmtId="174" fontId="8" fillId="0" borderId="0" applyFill="0" applyBorder="0" applyAlignment="0" applyProtection="0">
      <protection locked="0"/>
    </xf>
    <xf numFmtId="216" fontId="19" fillId="0" borderId="0" applyFont="0" applyFill="0" applyBorder="0" applyAlignment="0" applyProtection="0">
      <alignment horizontal="right"/>
    </xf>
    <xf numFmtId="38" fontId="3" fillId="0" borderId="0" applyFont="0" applyFill="0" applyBorder="0" applyAlignment="0" applyProtection="0"/>
    <xf numFmtId="0" fontId="41" fillId="0" borderId="17" applyNumberFormat="0" applyFill="0" applyProtection="0">
      <alignment horizontal="left" vertical="top" wrapText="1"/>
    </xf>
    <xf numFmtId="0" fontId="28" fillId="0" borderId="0" applyNumberFormat="0" applyFill="0" applyBorder="0" applyProtection="0">
      <alignment horizontal="left" vertical="top" wrapText="1"/>
    </xf>
    <xf numFmtId="0" fontId="42" fillId="0" borderId="0" applyNumberFormat="0" applyFill="0" applyProtection="0">
      <alignment horizontal="left" vertical="top" wrapText="1"/>
    </xf>
    <xf numFmtId="0" fontId="43" fillId="0" borderId="0" applyNumberFormat="0" applyFill="0" applyBorder="0" applyProtection="0"/>
    <xf numFmtId="0" fontId="44" fillId="30" borderId="0" applyNumberFormat="0" applyBorder="0" applyProtection="0"/>
    <xf numFmtId="0" fontId="45" fillId="0" borderId="0" applyNumberFormat="0" applyFill="0" applyBorder="0" applyProtection="0">
      <alignment vertical="top"/>
    </xf>
    <xf numFmtId="217" fontId="46" fillId="0" borderId="0" applyFill="0" applyBorder="0" applyProtection="0">
      <alignment horizontal="right" wrapText="1"/>
    </xf>
    <xf numFmtId="218" fontId="46" fillId="0" borderId="0" applyFill="0" applyBorder="0" applyProtection="0">
      <alignment horizontal="right"/>
    </xf>
    <xf numFmtId="4" fontId="16" fillId="0" borderId="0" applyFill="0" applyBorder="0" applyProtection="0">
      <alignment horizontal="right"/>
    </xf>
    <xf numFmtId="186" fontId="47" fillId="0" borderId="0" applyFill="0" applyBorder="0" applyAlignment="0" applyProtection="0"/>
    <xf numFmtId="219" fontId="48" fillId="0" borderId="0" applyFill="0" applyBorder="0" applyAlignment="0" applyProtection="0">
      <alignment horizontal="left"/>
      <protection locked="0"/>
    </xf>
    <xf numFmtId="219" fontId="48" fillId="0" borderId="0" applyFill="0" applyBorder="0" applyAlignment="0" applyProtection="0"/>
    <xf numFmtId="219" fontId="49" fillId="0" borderId="0" applyFill="0" applyBorder="0" applyAlignment="0" applyProtection="0">
      <alignment horizontal="left"/>
      <protection locked="0"/>
    </xf>
    <xf numFmtId="219" fontId="49" fillId="0" borderId="0" applyFill="0" applyBorder="0" applyAlignment="0" applyProtection="0">
      <protection locked="0"/>
    </xf>
    <xf numFmtId="193" fontId="8" fillId="0" borderId="0" applyFill="0" applyBorder="0" applyAlignment="0" applyProtection="0">
      <protection locked="0"/>
    </xf>
    <xf numFmtId="193" fontId="47" fillId="0" borderId="0" applyFill="0" applyBorder="0" applyAlignment="0" applyProtection="0"/>
    <xf numFmtId="49" fontId="50" fillId="0" borderId="0"/>
    <xf numFmtId="220" fontId="3" fillId="0" borderId="0" applyFont="0" applyFill="0" applyBorder="0" applyAlignment="0" applyProtection="0"/>
    <xf numFmtId="221" fontId="3" fillId="0" borderId="0" applyFont="0" applyFill="0" applyBorder="0" applyAlignment="0" applyProtection="0"/>
    <xf numFmtId="0" fontId="51" fillId="0" borderId="0" applyNumberFormat="0" applyFill="0" applyBorder="0" applyAlignment="0" applyProtection="0"/>
    <xf numFmtId="0" fontId="52" fillId="1" borderId="0" applyNumberFormat="0" applyBorder="0" applyProtection="0">
      <alignment horizontal="left" vertical="center"/>
    </xf>
    <xf numFmtId="193" fontId="53" fillId="0" borderId="0" applyNumberFormat="0" applyFill="0" applyBorder="0" applyAlignment="0" applyProtection="0"/>
    <xf numFmtId="0" fontId="3" fillId="0" borderId="0" applyBorder="0"/>
    <xf numFmtId="38" fontId="54" fillId="0" borderId="0" applyFill="0" applyBorder="0" applyAlignment="0" applyProtection="0">
      <alignment horizontal="left"/>
    </xf>
    <xf numFmtId="0" fontId="55" fillId="0" borderId="0"/>
    <xf numFmtId="0" fontId="56" fillId="0" borderId="18" applyNumberFormat="0" applyFill="0" applyAlignment="0" applyProtection="0"/>
    <xf numFmtId="0" fontId="57" fillId="0" borderId="0" applyNumberFormat="0" applyFill="0" applyBorder="0" applyAlignment="0" applyProtection="0"/>
    <xf numFmtId="1" fontId="8" fillId="0" borderId="0" applyFont="0" applyFill="0" applyBorder="0" applyAlignment="0" applyProtection="0"/>
    <xf numFmtId="222" fontId="17" fillId="0" borderId="0" applyFont="0" applyFill="0" applyBorder="0" applyAlignment="0" applyProtection="0"/>
    <xf numFmtId="224" fontId="18" fillId="0" borderId="0" applyFill="0" applyBorder="0" applyAlignment="0" applyProtection="0">
      <alignment horizontal="right"/>
    </xf>
    <xf numFmtId="0" fontId="59" fillId="0" borderId="0" applyAlignment="0"/>
    <xf numFmtId="0" fontId="60" fillId="0" borderId="0" applyAlignment="0"/>
    <xf numFmtId="0" fontId="44" fillId="31" borderId="0" applyAlignment="0"/>
    <xf numFmtId="225" fontId="16" fillId="0" borderId="19" applyFont="0" applyFill="0" applyBorder="0" applyAlignment="0" applyProtection="0"/>
    <xf numFmtId="226" fontId="18" fillId="0" borderId="0" applyFont="0" applyFill="0" applyBorder="0" applyAlignment="0" applyProtection="0"/>
    <xf numFmtId="227" fontId="16" fillId="0" borderId="0" applyFont="0" applyFill="0" applyBorder="0" applyAlignment="0" applyProtection="0"/>
    <xf numFmtId="179" fontId="61" fillId="24" borderId="20" applyFont="0" applyFill="0" applyBorder="0" applyAlignment="0" applyProtection="0"/>
    <xf numFmtId="0" fontId="62" fillId="0" borderId="0" applyAlignment="0"/>
    <xf numFmtId="14" fontId="18" fillId="0" borderId="5" applyFont="0" applyFill="0" applyBorder="0" applyAlignment="0" applyProtection="0"/>
    <xf numFmtId="0" fontId="63" fillId="32" borderId="21"/>
    <xf numFmtId="0" fontId="64" fillId="33" borderId="0" applyAlignment="0"/>
    <xf numFmtId="0" fontId="65" fillId="34" borderId="0" applyAlignment="0"/>
    <xf numFmtId="0" fontId="66" fillId="0" borderId="0" applyAlignment="0"/>
    <xf numFmtId="228" fontId="16" fillId="0" borderId="0" applyFont="0" applyFill="0" applyBorder="0" applyAlignment="0" applyProtection="0">
      <alignment horizontal="right"/>
    </xf>
    <xf numFmtId="193" fontId="67" fillId="0" borderId="0" applyNumberFormat="0" applyFill="0" applyBorder="0" applyAlignment="0" applyProtection="0">
      <alignment horizontal="left"/>
    </xf>
    <xf numFmtId="0" fontId="68" fillId="35" borderId="0" applyAlignment="0"/>
    <xf numFmtId="0" fontId="69" fillId="0" borderId="0" applyAlignment="0"/>
    <xf numFmtId="0" fontId="70" fillId="0" borderId="0" applyAlignment="0"/>
    <xf numFmtId="0" fontId="71" fillId="0" borderId="0" applyAlignment="0"/>
    <xf numFmtId="0" fontId="72" fillId="0" borderId="0" applyAlignment="0"/>
    <xf numFmtId="0" fontId="45" fillId="0" borderId="0" applyAlignment="0"/>
    <xf numFmtId="229" fontId="16" fillId="0" borderId="0" applyFont="0" applyFill="0" applyBorder="0" applyAlignment="0" applyProtection="0">
      <alignment horizontal="right"/>
    </xf>
    <xf numFmtId="0" fontId="73" fillId="0" borderId="0" applyAlignment="0"/>
    <xf numFmtId="230" fontId="16" fillId="0" borderId="0" applyFont="0" applyFill="0" applyBorder="0" applyAlignment="0"/>
    <xf numFmtId="44"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cellStyleXfs>
  <cellXfs count="83">
    <xf numFmtId="0" fontId="0" fillId="0" borderId="0" xfId="0"/>
    <xf numFmtId="44" fontId="75" fillId="0" borderId="0" xfId="211" applyFont="1"/>
    <xf numFmtId="237" fontId="75" fillId="0" borderId="0" xfId="0" applyNumberFormat="1" applyFont="1"/>
    <xf numFmtId="37" fontId="75" fillId="36" borderId="0" xfId="0" applyNumberFormat="1" applyFont="1" applyFill="1"/>
    <xf numFmtId="0" fontId="75" fillId="0" borderId="0" xfId="0" applyFont="1"/>
    <xf numFmtId="0" fontId="76" fillId="0" borderId="0" xfId="0" applyFont="1"/>
    <xf numFmtId="0" fontId="76" fillId="0" borderId="1" xfId="0" applyFont="1" applyBorder="1"/>
    <xf numFmtId="0" fontId="75" fillId="0" borderId="1" xfId="0" applyFont="1" applyBorder="1"/>
    <xf numFmtId="0" fontId="77" fillId="0" borderId="0" xfId="0" applyFont="1"/>
    <xf numFmtId="3" fontId="75" fillId="0" borderId="0" xfId="0" applyNumberFormat="1" applyFont="1"/>
    <xf numFmtId="37" fontId="75" fillId="0" borderId="0" xfId="0" applyNumberFormat="1" applyFont="1"/>
    <xf numFmtId="0" fontId="78" fillId="0" borderId="0" xfId="0" applyFont="1"/>
    <xf numFmtId="0" fontId="75" fillId="0" borderId="0" xfId="0" applyFont="1" applyAlignment="1">
      <alignment horizontal="left" indent="1"/>
    </xf>
    <xf numFmtId="196" fontId="75" fillId="0" borderId="0" xfId="212" applyNumberFormat="1" applyFont="1"/>
    <xf numFmtId="196" fontId="75" fillId="0" borderId="0" xfId="0" applyNumberFormat="1" applyFont="1"/>
    <xf numFmtId="196" fontId="75" fillId="37" borderId="0" xfId="0" applyNumberFormat="1" applyFont="1" applyFill="1"/>
    <xf numFmtId="196" fontId="75" fillId="37" borderId="0" xfId="212" applyNumberFormat="1" applyFont="1" applyFill="1"/>
    <xf numFmtId="0" fontId="75" fillId="0" borderId="0" xfId="0" applyFont="1" applyAlignment="1">
      <alignment horizontal="left" indent="2"/>
    </xf>
    <xf numFmtId="232" fontId="77" fillId="0" borderId="1" xfId="0" applyNumberFormat="1" applyFont="1" applyBorder="1"/>
    <xf numFmtId="37" fontId="75" fillId="38" borderId="0" xfId="0" applyNumberFormat="1" applyFont="1" applyFill="1"/>
    <xf numFmtId="0" fontId="76" fillId="0" borderId="0" xfId="0" applyFont="1" applyAlignment="1">
      <alignment horizontal="left"/>
    </xf>
    <xf numFmtId="0" fontId="75" fillId="0" borderId="0" xfId="0" applyFont="1" applyAlignment="1">
      <alignment horizontal="left"/>
    </xf>
    <xf numFmtId="235" fontId="75" fillId="0" borderId="0" xfId="0" applyNumberFormat="1" applyFont="1"/>
    <xf numFmtId="0" fontId="75" fillId="0" borderId="0" xfId="0" quotePrefix="1" applyFont="1" applyAlignment="1">
      <alignment horizontal="left" indent="1"/>
    </xf>
    <xf numFmtId="235" fontId="75" fillId="37" borderId="0" xfId="0" applyNumberFormat="1" applyFont="1" applyFill="1"/>
    <xf numFmtId="37" fontId="75" fillId="37" borderId="0" xfId="0" applyNumberFormat="1" applyFont="1" applyFill="1"/>
    <xf numFmtId="238" fontId="75" fillId="0" borderId="0" xfId="0" applyNumberFormat="1" applyFont="1"/>
    <xf numFmtId="37" fontId="76" fillId="0" borderId="0" xfId="0" applyNumberFormat="1" applyFont="1"/>
    <xf numFmtId="0" fontId="76" fillId="0" borderId="0" xfId="0" applyFont="1" applyAlignment="1">
      <alignment horizontal="left" indent="1"/>
    </xf>
    <xf numFmtId="0" fontId="75" fillId="0" borderId="0" xfId="0" quotePrefix="1" applyFont="1"/>
    <xf numFmtId="10" fontId="75" fillId="36" borderId="0" xfId="0" applyNumberFormat="1" applyFont="1" applyFill="1"/>
    <xf numFmtId="239" fontId="75" fillId="0" borderId="0" xfId="0" applyNumberFormat="1" applyFont="1"/>
    <xf numFmtId="0" fontId="75" fillId="39" borderId="0" xfId="0" applyFont="1" applyFill="1"/>
    <xf numFmtId="0" fontId="76" fillId="39" borderId="0" xfId="0" applyFont="1" applyFill="1"/>
    <xf numFmtId="0" fontId="76" fillId="39" borderId="1" xfId="0" applyFont="1" applyFill="1" applyBorder="1"/>
    <xf numFmtId="0" fontId="75" fillId="39" borderId="1" xfId="0" applyFont="1" applyFill="1" applyBorder="1"/>
    <xf numFmtId="3" fontId="75" fillId="39" borderId="0" xfId="0" applyNumberFormat="1" applyFont="1" applyFill="1"/>
    <xf numFmtId="37" fontId="75" fillId="39" borderId="0" xfId="0" applyNumberFormat="1" applyFont="1" applyFill="1"/>
    <xf numFmtId="231" fontId="75" fillId="39" borderId="0" xfId="0" applyNumberFormat="1" applyFont="1" applyFill="1"/>
    <xf numFmtId="44" fontId="75" fillId="39" borderId="0" xfId="211" applyFont="1" applyFill="1"/>
    <xf numFmtId="196" fontId="75" fillId="39" borderId="0" xfId="212" applyNumberFormat="1" applyFont="1" applyFill="1"/>
    <xf numFmtId="9" fontId="75" fillId="39" borderId="0" xfId="212" applyFont="1" applyFill="1"/>
    <xf numFmtId="232" fontId="77" fillId="39" borderId="1" xfId="0" applyNumberFormat="1" applyFont="1" applyFill="1" applyBorder="1"/>
    <xf numFmtId="164" fontId="75" fillId="39" borderId="0" xfId="0" applyNumberFormat="1" applyFont="1" applyFill="1"/>
    <xf numFmtId="164" fontId="75" fillId="39" borderId="0" xfId="0" applyNumberFormat="1" applyFont="1" applyFill="1" applyAlignment="1">
      <alignment horizontal="left" indent="3"/>
    </xf>
    <xf numFmtId="234" fontId="76" fillId="39" borderId="0" xfId="0" applyNumberFormat="1" applyFont="1" applyFill="1" applyAlignment="1">
      <alignment horizontal="left" indent="3"/>
    </xf>
    <xf numFmtId="37" fontId="76" fillId="39" borderId="0" xfId="0" applyNumberFormat="1" applyFont="1" applyFill="1"/>
    <xf numFmtId="164" fontId="77" fillId="39" borderId="0" xfId="0" applyNumberFormat="1" applyFont="1" applyFill="1"/>
    <xf numFmtId="235" fontId="75" fillId="39" borderId="0" xfId="0" applyNumberFormat="1" applyFont="1" applyFill="1"/>
    <xf numFmtId="236" fontId="75" fillId="39" borderId="0" xfId="0" applyNumberFormat="1" applyFont="1" applyFill="1"/>
    <xf numFmtId="234" fontId="75" fillId="39" borderId="0" xfId="0" applyNumberFormat="1" applyFont="1" applyFill="1"/>
    <xf numFmtId="232" fontId="77" fillId="39" borderId="0" xfId="0" applyNumberFormat="1" applyFont="1" applyFill="1"/>
    <xf numFmtId="234" fontId="76" fillId="39" borderId="0" xfId="0" applyNumberFormat="1" applyFont="1" applyFill="1"/>
    <xf numFmtId="237" fontId="75" fillId="39" borderId="0" xfId="0" applyNumberFormat="1" applyFont="1" applyFill="1"/>
    <xf numFmtId="240" fontId="75" fillId="0" borderId="0" xfId="0" applyNumberFormat="1" applyFont="1"/>
    <xf numFmtId="0" fontId="79" fillId="0" borderId="0" xfId="0" applyFont="1"/>
    <xf numFmtId="0" fontId="80" fillId="0" borderId="0" xfId="0" applyFont="1"/>
    <xf numFmtId="196" fontId="75" fillId="36" borderId="0" xfId="0" applyNumberFormat="1" applyFont="1" applyFill="1"/>
    <xf numFmtId="0" fontId="75" fillId="38" borderId="0" xfId="0" applyFont="1" applyFill="1"/>
    <xf numFmtId="0" fontId="76" fillId="38" borderId="1" xfId="0" applyFont="1" applyFill="1" applyBorder="1"/>
    <xf numFmtId="0" fontId="76" fillId="0" borderId="22" xfId="0" applyFont="1" applyBorder="1"/>
    <xf numFmtId="0" fontId="75" fillId="38" borderId="23" xfId="0" applyFont="1" applyFill="1" applyBorder="1"/>
    <xf numFmtId="0" fontId="75" fillId="38" borderId="24" xfId="0" applyFont="1" applyFill="1" applyBorder="1"/>
    <xf numFmtId="235" fontId="75" fillId="38" borderId="0" xfId="0" applyNumberFormat="1" applyFont="1" applyFill="1"/>
    <xf numFmtId="239" fontId="75" fillId="38" borderId="0" xfId="0" applyNumberFormat="1" applyFont="1" applyFill="1"/>
    <xf numFmtId="166" fontId="75" fillId="0" borderId="0" xfId="0" applyNumberFormat="1" applyFont="1"/>
    <xf numFmtId="9" fontId="75" fillId="0" borderId="0" xfId="212" applyFont="1"/>
    <xf numFmtId="0" fontId="75" fillId="0" borderId="25" xfId="0" applyFont="1" applyBorder="1"/>
    <xf numFmtId="166" fontId="76" fillId="39" borderId="25" xfId="0" applyNumberFormat="1" applyFont="1" applyFill="1" applyBorder="1"/>
    <xf numFmtId="165" fontId="76" fillId="0" borderId="25" xfId="0" applyNumberFormat="1" applyFont="1" applyBorder="1"/>
    <xf numFmtId="7" fontId="75" fillId="0" borderId="0" xfId="0" applyNumberFormat="1" applyFont="1"/>
    <xf numFmtId="238" fontId="75" fillId="37" borderId="0" xfId="0" applyNumberFormat="1" applyFont="1" applyFill="1"/>
    <xf numFmtId="0" fontId="76" fillId="40" borderId="0" xfId="0" applyFont="1" applyFill="1"/>
    <xf numFmtId="0" fontId="75" fillId="0" borderId="0" xfId="0" applyFont="1" applyAlignment="1">
      <alignment horizontal="right"/>
    </xf>
    <xf numFmtId="0" fontId="75" fillId="41" borderId="0" xfId="0" applyFont="1" applyFill="1"/>
    <xf numFmtId="166" fontId="76" fillId="38" borderId="25" xfId="0" applyNumberFormat="1" applyFont="1" applyFill="1" applyBorder="1"/>
    <xf numFmtId="0" fontId="75" fillId="40" borderId="0" xfId="0" applyFont="1" applyFill="1"/>
    <xf numFmtId="164" fontId="75" fillId="39" borderId="26" xfId="0" applyNumberFormat="1" applyFont="1" applyFill="1" applyBorder="1" applyAlignment="1">
      <alignment horizontal="right"/>
    </xf>
    <xf numFmtId="0" fontId="76" fillId="40" borderId="1" xfId="0" applyFont="1" applyFill="1" applyBorder="1"/>
    <xf numFmtId="7" fontId="75" fillId="0" borderId="8" xfId="211" applyNumberFormat="1" applyFont="1" applyBorder="1" applyAlignment="1">
      <alignment horizontal="center"/>
    </xf>
    <xf numFmtId="9" fontId="75" fillId="42" borderId="8" xfId="212" applyFont="1" applyFill="1" applyBorder="1" applyAlignment="1">
      <alignment horizontal="center"/>
    </xf>
    <xf numFmtId="10" fontId="75" fillId="42" borderId="8" xfId="212" applyNumberFormat="1" applyFont="1" applyFill="1" applyBorder="1" applyAlignment="1">
      <alignment horizontal="center"/>
    </xf>
    <xf numFmtId="241" fontId="75" fillId="0" borderId="0" xfId="213" applyNumberFormat="1" applyFont="1"/>
  </cellXfs>
  <cellStyles count="214">
    <cellStyle name="$" xfId="1"/>
    <cellStyle name="$m" xfId="2"/>
    <cellStyle name="$q" xfId="3"/>
    <cellStyle name="$q*" xfId="4"/>
    <cellStyle name="$q_valuation" xfId="5"/>
    <cellStyle name="$qA" xfId="6"/>
    <cellStyle name="$qRange" xfId="7"/>
    <cellStyle name="%" xfId="8"/>
    <cellStyle name="******************************************" xfId="9"/>
    <cellStyle name="10Q" xfId="186"/>
    <cellStyle name="2 Decimal Places_MA Software Comps - List_AccretionDilution OTGS v16.xls Chart 1" xfId="10"/>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AFE" xfId="35"/>
    <cellStyle name="Bad 2" xfId="36"/>
    <cellStyle name="Balance" xfId="37"/>
    <cellStyle name="BalanceSheet" xfId="38"/>
    <cellStyle name="Body_$Numeric" xfId="39"/>
    <cellStyle name="Bold Header" xfId="40"/>
    <cellStyle name="Calculation 2" xfId="41"/>
    <cellStyle name="CashFlow" xfId="42"/>
    <cellStyle name="ChartingText" xfId="187"/>
    <cellStyle name="Check" xfId="43"/>
    <cellStyle name="Check Cell 2" xfId="44"/>
    <cellStyle name="CHPTop" xfId="188"/>
    <cellStyle name="ColHeading" xfId="45"/>
    <cellStyle name="colheadleft" xfId="46"/>
    <cellStyle name="colheadright" xfId="47"/>
    <cellStyle name="ColumnHeaderNormal" xfId="189"/>
    <cellStyle name="Comma" xfId="213" builtinId="3"/>
    <cellStyle name="Comma 2" xfId="48"/>
    <cellStyle name="Comma0" xfId="49"/>
    <cellStyle name="Comma2" xfId="50"/>
    <cellStyle name="Company" xfId="51"/>
    <cellStyle name="CurRatio" xfId="52"/>
    <cellStyle name="Currency" xfId="211" builtinId="4"/>
    <cellStyle name="Currency--" xfId="190"/>
    <cellStyle name="Currency [1]" xfId="53"/>
    <cellStyle name="Currency [2]" xfId="54"/>
    <cellStyle name="Currency0" xfId="55"/>
    <cellStyle name="Currency2" xfId="56"/>
    <cellStyle name="d_yield" xfId="57"/>
    <cellStyle name="d_yield_CW's MAKER MODEL" xfId="58"/>
    <cellStyle name="d_yield_valuation" xfId="59"/>
    <cellStyle name="Date [d-mmm-yy]" xfId="60"/>
    <cellStyle name="Date [mm-dd-yy]" xfId="191"/>
    <cellStyle name="Date [mm-dd-yyyy]" xfId="192"/>
    <cellStyle name="Date [mm-d-yyyy]" xfId="193"/>
    <cellStyle name="Date [mmm-d-yyyy]" xfId="61"/>
    <cellStyle name="Date [mmm-yyyy]" xfId="62"/>
    <cellStyle name="Dates" xfId="63"/>
    <cellStyle name="DateYear" xfId="64"/>
    <cellStyle name="Dezimal_Capital expenditure planning FY 2000" xfId="65"/>
    <cellStyle name="Dollar" xfId="66"/>
    <cellStyle name="Dollars" xfId="67"/>
    <cellStyle name="DollarWhole" xfId="68"/>
    <cellStyle name="eps" xfId="69"/>
    <cellStyle name="eps$" xfId="70"/>
    <cellStyle name="eps$A" xfId="71"/>
    <cellStyle name="eps$E" xfId="72"/>
    <cellStyle name="eps_CW's MAKER MODEL" xfId="73"/>
    <cellStyle name="epsA" xfId="74"/>
    <cellStyle name="EPSActual" xfId="75"/>
    <cellStyle name="epsE" xfId="76"/>
    <cellStyle name="EPSEstimate" xfId="77"/>
    <cellStyle name="Euro" xfId="78"/>
    <cellStyle name="Explanatory Text 2" xfId="79"/>
    <cellStyle name="fy_eps$" xfId="80"/>
    <cellStyle name="g_rate" xfId="81"/>
    <cellStyle name="g_rate_CW's MAKER MODEL" xfId="82"/>
    <cellStyle name="g_rate_valuation" xfId="83"/>
    <cellStyle name="General" xfId="84"/>
    <cellStyle name="Good 2" xfId="85"/>
    <cellStyle name="GrowthRate" xfId="86"/>
    <cellStyle name="GrowthSeq" xfId="87"/>
    <cellStyle name="Hard Number Input" xfId="88"/>
    <cellStyle name="Heading 1 2" xfId="89"/>
    <cellStyle name="Heading 2 2" xfId="90"/>
    <cellStyle name="Heading 3 2" xfId="91"/>
    <cellStyle name="Heading 4 2" xfId="92"/>
    <cellStyle name="Historical Number" xfId="93"/>
    <cellStyle name="iemens" xfId="94"/>
    <cellStyle name="Income" xfId="95"/>
    <cellStyle name="IncomeStatement" xfId="96"/>
    <cellStyle name="Input 2" xfId="97"/>
    <cellStyle name="Input Fixed [0]" xfId="98"/>
    <cellStyle name="Integer" xfId="99"/>
    <cellStyle name="Inverse Header" xfId="100"/>
    <cellStyle name="Invisible" xfId="194"/>
    <cellStyle name="Item" xfId="101"/>
    <cellStyle name="ItemTypeClass" xfId="102"/>
    <cellStyle name="Linked Cell 2" xfId="103"/>
    <cellStyle name="LTGR" xfId="104"/>
    <cellStyle name="m" xfId="105"/>
    <cellStyle name="m$" xfId="106"/>
    <cellStyle name="m/d/yy" xfId="195"/>
    <cellStyle name="m_CW's MAKER MODEL" xfId="107"/>
    <cellStyle name="m_valuation" xfId="108"/>
    <cellStyle name="Margin" xfId="109"/>
    <cellStyle name="Margins" xfId="110"/>
    <cellStyle name="mm" xfId="111"/>
    <cellStyle name="Multiple" xfId="112"/>
    <cellStyle name="MyStyle" xfId="196"/>
    <cellStyle name="NA is zero" xfId="113"/>
    <cellStyle name="Neutral 2" xfId="114"/>
    <cellStyle name="NewColumnHeaderNormal" xfId="197"/>
    <cellStyle name="NewSectionHeaderNormal" xfId="198"/>
    <cellStyle name="NewTitleNormal" xfId="199"/>
    <cellStyle name="Normal" xfId="0" builtinId="0"/>
    <cellStyle name="Normal--" xfId="200"/>
    <cellStyle name="Normal [0]" xfId="115"/>
    <cellStyle name="Normal [1]" xfId="116"/>
    <cellStyle name="Normal [2]" xfId="117"/>
    <cellStyle name="Normal [3]" xfId="118"/>
    <cellStyle name="Normal 2" xfId="119"/>
    <cellStyle name="Normal Bold" xfId="120"/>
    <cellStyle name="Normal Pct" xfId="121"/>
    <cellStyle name="NormalX" xfId="122"/>
    <cellStyle name="Note 2" xfId="123"/>
    <cellStyle name="NPPESalesPct" xfId="124"/>
    <cellStyle name="Number" xfId="125"/>
    <cellStyle name="NWI%S" xfId="126"/>
    <cellStyle name="Output 2" xfId="127"/>
    <cellStyle name="P/E" xfId="128"/>
    <cellStyle name="Palatino" xfId="129"/>
    <cellStyle name="pc1" xfId="130"/>
    <cellStyle name="pe" xfId="131"/>
    <cellStyle name="PE/LTGR" xfId="132"/>
    <cellStyle name="PEG" xfId="133"/>
    <cellStyle name="Percent" xfId="212" builtinId="5"/>
    <cellStyle name="Percent [0]" xfId="134"/>
    <cellStyle name="Percent [1]" xfId="135"/>
    <cellStyle name="Percent [2]" xfId="136"/>
    <cellStyle name="PercentChange" xfId="137"/>
    <cellStyle name="PercentPresentation" xfId="138"/>
    <cellStyle name="PerShare" xfId="139"/>
    <cellStyle name="POPS" xfId="140"/>
    <cellStyle name="Presentation" xfId="141"/>
    <cellStyle name="PresentationZero" xfId="142"/>
    <cellStyle name="price" xfId="143"/>
    <cellStyle name="q" xfId="144"/>
    <cellStyle name="q_CW's MAKER MODEL" xfId="145"/>
    <cellStyle name="QEPS-h" xfId="146"/>
    <cellStyle name="QEPS-H1" xfId="147"/>
    <cellStyle name="qRange" xfId="148"/>
    <cellStyle name="range" xfId="149"/>
    <cellStyle name="RatioX" xfId="150"/>
    <cellStyle name="Red font" xfId="201"/>
    <cellStyle name="Report" xfId="151"/>
    <cellStyle name="Right" xfId="152"/>
    <cellStyle name="SectionHeaderNormal" xfId="202"/>
    <cellStyle name="SectionHeading" xfId="153"/>
    <cellStyle name="Shares" xfId="154"/>
    <cellStyle name="StockPrice" xfId="155"/>
    <cellStyle name="Style 1" xfId="156"/>
    <cellStyle name="Style 21" xfId="157"/>
    <cellStyle name="Style 22" xfId="158"/>
    <cellStyle name="Style 23" xfId="159"/>
    <cellStyle name="Style 24" xfId="160"/>
    <cellStyle name="Style 26" xfId="161"/>
    <cellStyle name="Style 27" xfId="162"/>
    <cellStyle name="Style 34" xfId="163"/>
    <cellStyle name="Style 37" xfId="164"/>
    <cellStyle name="Style 63" xfId="165"/>
    <cellStyle name="SubDollar" xfId="166"/>
    <cellStyle name="SubGrowth" xfId="167"/>
    <cellStyle name="SubGrowthRate" xfId="168"/>
    <cellStyle name="SubMargins" xfId="169"/>
    <cellStyle name="SubPenetration" xfId="170"/>
    <cellStyle name="Subscribers" xfId="171"/>
    <cellStyle name="SubScript" xfId="203"/>
    <cellStyle name="SubVariable" xfId="172"/>
    <cellStyle name="SuperScript" xfId="204"/>
    <cellStyle name="tcn" xfId="173"/>
    <cellStyle name="TextBold" xfId="205"/>
    <cellStyle name="TextItalic" xfId="206"/>
    <cellStyle name="TextNormal" xfId="207"/>
    <cellStyle name="Times" xfId="208"/>
    <cellStyle name="Times [1]" xfId="174"/>
    <cellStyle name="Times [2]" xfId="175"/>
    <cellStyle name="Title 2" xfId="176"/>
    <cellStyle name="title2" xfId="177"/>
    <cellStyle name="TitleII" xfId="178"/>
    <cellStyle name="TitleNormal" xfId="209"/>
    <cellStyle name="Titles" xfId="179"/>
    <cellStyle name="TitleSub" xfId="180"/>
    <cellStyle name="tn" xfId="181"/>
    <cellStyle name="Total 2" xfId="182"/>
    <cellStyle name="Warning Text 2" xfId="183"/>
    <cellStyle name="WholeNumber" xfId="184"/>
    <cellStyle name="Year&quot;E&quot;" xfId="185"/>
    <cellStyle name="Years" xfId="210"/>
  </cellStyles>
  <dxfs count="3">
    <dxf>
      <fill>
        <patternFill>
          <bgColor theme="8"/>
        </patternFill>
      </fill>
      <border>
        <left/>
        <right/>
        <top style="thin">
          <color rgb="FF9C0006"/>
        </top>
        <bottom style="thin">
          <color rgb="FF9C0006"/>
        </bottom>
        <vertical/>
        <horizontal/>
      </border>
    </dxf>
    <dxf>
      <fill>
        <patternFill>
          <bgColor theme="8"/>
        </patternFill>
      </fill>
      <border>
        <left/>
        <right/>
        <top style="thin">
          <color rgb="FF9C0006"/>
        </top>
        <bottom style="thin">
          <color rgb="FF9C0006"/>
        </bottom>
        <vertical/>
        <horizontal/>
      </border>
    </dxf>
    <dxf>
      <fill>
        <patternFill>
          <bgColor theme="8"/>
        </patternFill>
      </fill>
      <border>
        <left/>
        <right/>
        <top style="thin">
          <color rgb="FF9C0006"/>
        </top>
        <bottom style="thin">
          <color rgb="FF9C0006"/>
        </bottom>
        <vertical/>
        <horizontal/>
      </border>
    </dxf>
  </dxfs>
  <tableStyles count="0" defaultTableStyle="TableStyleMedium2" defaultPivotStyle="PivotStyleLight16"/>
  <colors>
    <mruColors>
      <color rgb="FF008000"/>
      <color rgb="FFFFFF99"/>
      <color rgb="FF0000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Owner\LOCALS~1\Temp\Rar$DI00.921\Valuation_2010_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umar.WSP\Downloads\DataSet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Forecast Drivers"/>
      <sheetName val="Results"/>
      <sheetName val="Valuation Summary"/>
    </sheetNames>
    <sheetDataSet>
      <sheetData sheetId="0" refreshError="1"/>
      <sheetData sheetId="1">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330">
          <cell r="D330">
            <v>1</v>
          </cell>
        </row>
      </sheetData>
      <sheetData sheetId="2">
        <row r="142">
          <cell r="F142">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_ans"/>
      <sheetName val="Circ"/>
      <sheetName val="Reg 0"/>
      <sheetName val="Reg_ans"/>
      <sheetName val="CF"/>
      <sheetName val="CF_ans"/>
      <sheetName val="BoostToolkitClipBoard2010"/>
      <sheetName val="DS0"/>
      <sheetName val="DS0_ans"/>
      <sheetName val="Data Set1"/>
      <sheetName val="DataSet2"/>
      <sheetName val="DataSet3"/>
      <sheetName val="Other"/>
      <sheetName val="DataSet4"/>
      <sheetName val="Array0"/>
      <sheetName val="Array1"/>
      <sheetName val="Array2"/>
      <sheetName val="Array3"/>
      <sheetName val="Array4"/>
      <sheetName val="Array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B5" t="str">
            <v>iPad</v>
          </cell>
          <cell r="C5">
            <v>500</v>
          </cell>
        </row>
        <row r="6">
          <cell r="B6" t="str">
            <v>iPod</v>
          </cell>
          <cell r="C6">
            <v>200</v>
          </cell>
        </row>
        <row r="7">
          <cell r="B7" t="str">
            <v>iPhone</v>
          </cell>
          <cell r="C7">
            <v>400</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4"/>
  <sheetViews>
    <sheetView tabSelected="1" zoomScaleNormal="100" workbookViewId="0">
      <selection activeCell="C3" sqref="C3"/>
    </sheetView>
  </sheetViews>
  <sheetFormatPr defaultRowHeight="15" outlineLevelRow="1"/>
  <cols>
    <col min="1" max="1" width="1.7109375" style="4" customWidth="1"/>
    <col min="2" max="2" width="61.7109375" style="4" bestFit="1" customWidth="1"/>
    <col min="3" max="5" width="13.28515625" style="32" customWidth="1"/>
    <col min="6" max="6" width="14.140625" style="4" customWidth="1"/>
    <col min="7" max="10" width="16.28515625" style="4" bestFit="1" customWidth="1"/>
    <col min="11" max="11" width="9.140625" style="4"/>
    <col min="12" max="12" width="10.85546875" style="4" bestFit="1" customWidth="1"/>
    <col min="13" max="14" width="9.140625" style="4"/>
    <col min="15" max="15" width="14.85546875" style="4" customWidth="1"/>
    <col min="16" max="16384" width="9.140625" style="4"/>
  </cols>
  <sheetData>
    <row r="1" spans="2:12">
      <c r="C1" s="48"/>
    </row>
    <row r="2" spans="2:12" ht="15.75" thickBot="1">
      <c r="B2" s="72" t="s">
        <v>3</v>
      </c>
      <c r="C2" s="76"/>
      <c r="D2" s="76"/>
      <c r="E2" s="76"/>
    </row>
    <row r="3" spans="2:12" ht="15.75" thickBot="1">
      <c r="B3" s="73" t="s">
        <v>0</v>
      </c>
      <c r="C3" s="77" t="s">
        <v>131</v>
      </c>
    </row>
    <row r="5" spans="2:12">
      <c r="B5" s="6" t="s">
        <v>4</v>
      </c>
      <c r="C5" s="34"/>
      <c r="D5" s="35"/>
      <c r="E5" s="35"/>
      <c r="F5" s="7"/>
      <c r="G5" s="7"/>
      <c r="H5" s="7"/>
      <c r="I5" s="7"/>
      <c r="J5" s="7"/>
    </row>
    <row r="6" spans="2:12">
      <c r="B6" s="67"/>
      <c r="C6" s="68" t="s">
        <v>5</v>
      </c>
      <c r="D6" s="68" t="s">
        <v>6</v>
      </c>
      <c r="E6" s="68" t="s">
        <v>7</v>
      </c>
      <c r="F6" s="69" t="s">
        <v>8</v>
      </c>
      <c r="G6" s="69" t="s">
        <v>118</v>
      </c>
      <c r="H6" s="69" t="s">
        <v>119</v>
      </c>
      <c r="I6" s="69" t="s">
        <v>120</v>
      </c>
      <c r="J6" s="69" t="s">
        <v>121</v>
      </c>
      <c r="L6" s="65"/>
    </row>
    <row r="7" spans="2:12">
      <c r="B7" s="8"/>
    </row>
    <row r="8" spans="2:12">
      <c r="B8" s="4" t="s">
        <v>1</v>
      </c>
      <c r="C8" s="36"/>
      <c r="D8" s="36">
        <f t="shared" ref="D8:E8" si="0">+D32</f>
        <v>111000</v>
      </c>
      <c r="E8" s="36">
        <f t="shared" si="0"/>
        <v>115000</v>
      </c>
      <c r="F8" s="9">
        <f>E8*(1+F24)</f>
        <v>119380.00000000001</v>
      </c>
      <c r="G8" s="9">
        <f>F8*(1+G24)</f>
        <v>124595.80000000003</v>
      </c>
      <c r="H8" s="9">
        <f>G8*(1+H24)</f>
        <v>131138.34200000003</v>
      </c>
      <c r="I8" s="9">
        <f>H8*(1+I24)</f>
        <v>137485.60258000004</v>
      </c>
      <c r="J8" s="9">
        <f>I8*(1+J24)</f>
        <v>143750.86000240006</v>
      </c>
    </row>
    <row r="9" spans="2:12">
      <c r="B9" s="4" t="s">
        <v>2</v>
      </c>
      <c r="C9" s="37"/>
      <c r="D9" s="37">
        <v>-50000</v>
      </c>
      <c r="E9" s="37">
        <v>-53000</v>
      </c>
      <c r="F9" s="10">
        <f>-(F8-F10)</f>
        <v>-53721</v>
      </c>
      <c r="G9" s="10">
        <f t="shared" ref="G9:J9" si="1">-(G8-G10)</f>
        <v>-56068.110000000015</v>
      </c>
      <c r="H9" s="10">
        <f t="shared" si="1"/>
        <v>-59012.253900000011</v>
      </c>
      <c r="I9" s="10">
        <f t="shared" si="1"/>
        <v>-61868.521161000011</v>
      </c>
      <c r="J9" s="10">
        <f t="shared" si="1"/>
        <v>-64687.887001080016</v>
      </c>
    </row>
    <row r="10" spans="2:12">
      <c r="B10" s="5" t="s">
        <v>13</v>
      </c>
      <c r="C10" s="36"/>
      <c r="D10" s="36">
        <f t="shared" ref="D10" si="2">D9+D8</f>
        <v>61000</v>
      </c>
      <c r="E10" s="36">
        <f>E9+E8</f>
        <v>62000</v>
      </c>
      <c r="F10" s="9">
        <f>F25*F8</f>
        <v>65659.000000000015</v>
      </c>
      <c r="G10" s="9">
        <f>G25*G8</f>
        <v>68527.690000000017</v>
      </c>
      <c r="H10" s="9">
        <f>H25*H8</f>
        <v>72126.088100000023</v>
      </c>
      <c r="I10" s="9">
        <f>I25*I8</f>
        <v>75617.081419000024</v>
      </c>
      <c r="J10" s="9">
        <f>J25*J8</f>
        <v>79062.973001320046</v>
      </c>
    </row>
    <row r="11" spans="2:12">
      <c r="B11" s="4" t="s">
        <v>14</v>
      </c>
      <c r="C11" s="37"/>
      <c r="D11" s="37">
        <v>0</v>
      </c>
      <c r="E11" s="37">
        <v>-500</v>
      </c>
      <c r="F11" s="10">
        <f>-(F26*F8)</f>
        <v>-1193.8000000000002</v>
      </c>
      <c r="G11" s="10">
        <f>-(G26*G8)</f>
        <v>-1245.9580000000003</v>
      </c>
      <c r="H11" s="10">
        <f>-(H26*H8)</f>
        <v>-1311.3834200000003</v>
      </c>
      <c r="I11" s="10">
        <f>-(I26*I8)</f>
        <v>-1374.8560258000005</v>
      </c>
      <c r="J11" s="10">
        <f>-(J26*J8)</f>
        <v>-1437.5086000240005</v>
      </c>
    </row>
    <row r="12" spans="2:12">
      <c r="B12" s="4" t="s">
        <v>15</v>
      </c>
      <c r="C12" s="37"/>
      <c r="D12" s="37">
        <v>-35000</v>
      </c>
      <c r="E12" s="37">
        <v>-40000</v>
      </c>
      <c r="F12" s="10">
        <f>-(F27*F8)</f>
        <v>-42976.800000000003</v>
      </c>
      <c r="G12" s="10">
        <f>-(G27*G8)</f>
        <v>-44854.488000000012</v>
      </c>
      <c r="H12" s="10">
        <f>-(H27*H8)</f>
        <v>-47209.803120000011</v>
      </c>
      <c r="I12" s="10">
        <f>-(I27*I8)</f>
        <v>-49494.816928800014</v>
      </c>
      <c r="J12" s="10">
        <f>-(J27*J8)</f>
        <v>-51750.30960086402</v>
      </c>
    </row>
    <row r="13" spans="2:12">
      <c r="B13" s="5" t="s">
        <v>16</v>
      </c>
      <c r="C13" s="36"/>
      <c r="D13" s="37">
        <f t="shared" ref="D13:J13" si="3">SUM(D10:D12)</f>
        <v>26000</v>
      </c>
      <c r="E13" s="36">
        <f t="shared" si="3"/>
        <v>21500</v>
      </c>
      <c r="F13" s="9">
        <f t="shared" si="3"/>
        <v>21488.400000000009</v>
      </c>
      <c r="G13" s="9">
        <f t="shared" si="3"/>
        <v>22427.244000000006</v>
      </c>
      <c r="H13" s="9">
        <f t="shared" si="3"/>
        <v>23604.901560000013</v>
      </c>
      <c r="I13" s="9">
        <f t="shared" si="3"/>
        <v>24747.408464400003</v>
      </c>
      <c r="J13" s="9">
        <f t="shared" si="3"/>
        <v>25875.154800432028</v>
      </c>
    </row>
    <row r="14" spans="2:12">
      <c r="B14" s="4" t="s">
        <v>17</v>
      </c>
      <c r="C14" s="36"/>
      <c r="D14" s="36">
        <v>200</v>
      </c>
      <c r="E14" s="36">
        <v>400</v>
      </c>
      <c r="F14" s="9">
        <f>F169</f>
        <v>0</v>
      </c>
      <c r="G14" s="9">
        <f t="shared" ref="G14:J14" si="4">G169</f>
        <v>0</v>
      </c>
      <c r="H14" s="9">
        <f t="shared" si="4"/>
        <v>0</v>
      </c>
      <c r="I14" s="9">
        <f t="shared" si="4"/>
        <v>0</v>
      </c>
      <c r="J14" s="9">
        <f t="shared" si="4"/>
        <v>0</v>
      </c>
    </row>
    <row r="15" spans="2:12">
      <c r="B15" s="4" t="s">
        <v>18</v>
      </c>
      <c r="C15" s="37"/>
      <c r="D15" s="37">
        <v>-1500</v>
      </c>
      <c r="E15" s="37">
        <v>-1400</v>
      </c>
      <c r="F15" s="10">
        <f>F109-F161</f>
        <v>-1400</v>
      </c>
      <c r="G15" s="10">
        <f t="shared" ref="G15:J15" ca="1" si="5">G109-G161</f>
        <v>-1160</v>
      </c>
      <c r="H15" s="10">
        <f t="shared" ca="1" si="5"/>
        <v>-920</v>
      </c>
      <c r="I15" s="10">
        <f t="shared" ca="1" si="5"/>
        <v>-680</v>
      </c>
      <c r="J15" s="10">
        <f t="shared" ca="1" si="5"/>
        <v>-440</v>
      </c>
    </row>
    <row r="16" spans="2:12">
      <c r="B16" s="5" t="s">
        <v>19</v>
      </c>
      <c r="C16" s="36"/>
      <c r="D16" s="36">
        <f t="shared" ref="D16:J16" si="6">SUM(D13:D15)</f>
        <v>24700</v>
      </c>
      <c r="E16" s="36">
        <f t="shared" si="6"/>
        <v>20500</v>
      </c>
      <c r="F16" s="9">
        <f t="shared" si="6"/>
        <v>20088.400000000009</v>
      </c>
      <c r="G16" s="9">
        <f t="shared" ca="1" si="6"/>
        <v>21267.244000000006</v>
      </c>
      <c r="H16" s="9">
        <f t="shared" ca="1" si="6"/>
        <v>22684.901560000013</v>
      </c>
      <c r="I16" s="9">
        <f t="shared" ca="1" si="6"/>
        <v>24067.408464400003</v>
      </c>
      <c r="J16" s="9">
        <f t="shared" ca="1" si="6"/>
        <v>25435.154800432028</v>
      </c>
    </row>
    <row r="17" spans="1:12">
      <c r="B17" s="4" t="s">
        <v>20</v>
      </c>
      <c r="C17" s="37"/>
      <c r="D17" s="37">
        <f t="shared" ref="D17:E17" si="7">-D16*0.25</f>
        <v>-6175</v>
      </c>
      <c r="E17" s="37">
        <f t="shared" si="7"/>
        <v>-5125</v>
      </c>
      <c r="F17" s="10">
        <f>-(F28*F16)</f>
        <v>-5022.1000000000022</v>
      </c>
      <c r="G17" s="10">
        <f ca="1">-(G28*G16)</f>
        <v>-5316.8110000000015</v>
      </c>
      <c r="H17" s="10">
        <f ca="1">-(H28*H16)</f>
        <v>-5671.2253900000032</v>
      </c>
      <c r="I17" s="10">
        <f ca="1">-(I28*I16)</f>
        <v>-6016.8521161000008</v>
      </c>
      <c r="J17" s="10">
        <f ca="1">-(J28*J16)</f>
        <v>-6358.7887001080071</v>
      </c>
    </row>
    <row r="18" spans="1:12">
      <c r="B18" s="5" t="s">
        <v>21</v>
      </c>
      <c r="C18" s="36"/>
      <c r="D18" s="36">
        <f t="shared" ref="D18:E18" si="8">SUM(D16:D17)</f>
        <v>18525</v>
      </c>
      <c r="E18" s="36">
        <f t="shared" si="8"/>
        <v>15375</v>
      </c>
      <c r="F18" s="9">
        <f>SUM(F16:F17)</f>
        <v>15066.300000000007</v>
      </c>
      <c r="G18" s="9">
        <f t="shared" ref="G18:J18" ca="1" si="9">SUM(G16:G17)</f>
        <v>15950.433000000005</v>
      </c>
      <c r="H18" s="9">
        <f t="shared" ca="1" si="9"/>
        <v>17013.67617000001</v>
      </c>
      <c r="I18" s="9">
        <f t="shared" ca="1" si="9"/>
        <v>18050.556348300001</v>
      </c>
      <c r="J18" s="9">
        <f t="shared" ca="1" si="9"/>
        <v>19076.366100324019</v>
      </c>
    </row>
    <row r="19" spans="1:12">
      <c r="D19" s="36"/>
      <c r="E19" s="36"/>
      <c r="F19" s="66"/>
      <c r="G19" s="66"/>
      <c r="H19" s="66"/>
      <c r="I19" s="66"/>
      <c r="J19" s="66"/>
    </row>
    <row r="20" spans="1:12">
      <c r="B20" s="4" t="s">
        <v>22</v>
      </c>
      <c r="C20" s="38"/>
      <c r="D20" s="38">
        <v>5000</v>
      </c>
      <c r="E20" s="38">
        <v>5000</v>
      </c>
      <c r="F20" s="54">
        <v>5000</v>
      </c>
      <c r="G20" s="54">
        <v>5000</v>
      </c>
      <c r="H20" s="54">
        <v>5000</v>
      </c>
      <c r="I20" s="54">
        <v>5000</v>
      </c>
      <c r="J20" s="54">
        <v>5000</v>
      </c>
    </row>
    <row r="21" spans="1:12">
      <c r="B21" s="4" t="s">
        <v>23</v>
      </c>
      <c r="C21" s="39"/>
      <c r="D21" s="39">
        <f t="shared" ref="D21" si="10">+D18/D20</f>
        <v>3.7050000000000001</v>
      </c>
      <c r="E21" s="39">
        <f>+E18/E20</f>
        <v>3.0750000000000002</v>
      </c>
      <c r="F21" s="1">
        <f>F18/F20</f>
        <v>3.0132600000000012</v>
      </c>
      <c r="G21" s="1">
        <f ca="1">G18/G20</f>
        <v>3.1900866000000008</v>
      </c>
      <c r="H21" s="1">
        <f ca="1">H18/H20</f>
        <v>3.4027352340000019</v>
      </c>
      <c r="I21" s="1">
        <f ca="1">I18/I20</f>
        <v>3.61011126966</v>
      </c>
      <c r="J21" s="1">
        <f ca="1">J18/J20</f>
        <v>3.8152732200648041</v>
      </c>
    </row>
    <row r="23" spans="1:12">
      <c r="B23" s="11" t="s">
        <v>24</v>
      </c>
    </row>
    <row r="24" spans="1:12">
      <c r="B24" s="12" t="s">
        <v>25</v>
      </c>
      <c r="C24" s="40"/>
      <c r="D24" s="40"/>
      <c r="E24" s="40">
        <f>E8/D8-1</f>
        <v>3.6036036036036112E-2</v>
      </c>
      <c r="F24" s="14">
        <f>F33</f>
        <v>3.8086956521739213E-2</v>
      </c>
      <c r="G24" s="14">
        <f t="shared" ref="G24:J24" si="11">G33</f>
        <v>4.3690735466577424E-2</v>
      </c>
      <c r="H24" s="14">
        <f t="shared" si="11"/>
        <v>5.2510132765309914E-2</v>
      </c>
      <c r="I24" s="14">
        <f t="shared" si="11"/>
        <v>4.8401256895561406E-2</v>
      </c>
      <c r="J24" s="14">
        <f t="shared" si="11"/>
        <v>4.5570280122636087E-2</v>
      </c>
    </row>
    <row r="25" spans="1:12">
      <c r="B25" s="12" t="s">
        <v>26</v>
      </c>
      <c r="C25" s="40"/>
      <c r="D25" s="40">
        <f>D10/D8</f>
        <v>0.5495495495495496</v>
      </c>
      <c r="E25" s="40">
        <f>E10/E8</f>
        <v>0.53913043478260869</v>
      </c>
      <c r="F25" s="16">
        <f>+F180</f>
        <v>0.55000000000000004</v>
      </c>
      <c r="G25" s="16">
        <f t="shared" ref="G25:J25" si="12">+G180</f>
        <v>0.55000000000000004</v>
      </c>
      <c r="H25" s="16">
        <f t="shared" si="12"/>
        <v>0.55000000000000004</v>
      </c>
      <c r="I25" s="16">
        <f t="shared" si="12"/>
        <v>0.55000000000000004</v>
      </c>
      <c r="J25" s="16">
        <f t="shared" si="12"/>
        <v>0.55000000000000004</v>
      </c>
    </row>
    <row r="26" spans="1:12">
      <c r="B26" s="12" t="s">
        <v>27</v>
      </c>
      <c r="C26" s="40"/>
      <c r="D26" s="40">
        <f>-D11/D8</f>
        <v>0</v>
      </c>
      <c r="E26" s="40">
        <f>-E11/E8</f>
        <v>4.3478260869565218E-3</v>
      </c>
      <c r="F26" s="15">
        <v>0.01</v>
      </c>
      <c r="G26" s="15">
        <v>0.01</v>
      </c>
      <c r="H26" s="15">
        <v>0.01</v>
      </c>
      <c r="I26" s="15">
        <v>0.01</v>
      </c>
      <c r="J26" s="15">
        <v>0.01</v>
      </c>
    </row>
    <row r="27" spans="1:12">
      <c r="B27" s="12" t="s">
        <v>28</v>
      </c>
      <c r="C27" s="40"/>
      <c r="D27" s="40">
        <f>-D12/D8</f>
        <v>0.31531531531531531</v>
      </c>
      <c r="E27" s="40">
        <f>-E12/E8</f>
        <v>0.34782608695652173</v>
      </c>
      <c r="F27" s="15">
        <v>0.36</v>
      </c>
      <c r="G27" s="15">
        <v>0.36</v>
      </c>
      <c r="H27" s="15">
        <v>0.36</v>
      </c>
      <c r="I27" s="15">
        <v>0.36</v>
      </c>
      <c r="J27" s="15">
        <v>0.36</v>
      </c>
    </row>
    <row r="28" spans="1:12">
      <c r="B28" s="12" t="s">
        <v>29</v>
      </c>
      <c r="C28" s="40"/>
      <c r="D28" s="40">
        <v>0.25</v>
      </c>
      <c r="E28" s="40">
        <v>0.25</v>
      </c>
      <c r="F28" s="16">
        <v>0.25</v>
      </c>
      <c r="G28" s="16">
        <v>0.25</v>
      </c>
      <c r="H28" s="16">
        <v>0.25</v>
      </c>
      <c r="I28" s="16">
        <v>0.25</v>
      </c>
      <c r="J28" s="16">
        <v>0.25</v>
      </c>
    </row>
    <row r="29" spans="1:12" ht="14.25" customHeight="1">
      <c r="A29" s="4" t="s">
        <v>30</v>
      </c>
      <c r="B29" s="6" t="s">
        <v>31</v>
      </c>
    </row>
    <row r="30" spans="1:12">
      <c r="B30" s="67"/>
      <c r="C30" s="68" t="s">
        <v>5</v>
      </c>
      <c r="D30" s="68" t="s">
        <v>6</v>
      </c>
      <c r="E30" s="68" t="s">
        <v>7</v>
      </c>
      <c r="F30" s="69" t="s">
        <v>8</v>
      </c>
      <c r="G30" s="69" t="s">
        <v>9</v>
      </c>
      <c r="H30" s="69" t="s">
        <v>10</v>
      </c>
      <c r="I30" s="69" t="s">
        <v>11</v>
      </c>
      <c r="J30" s="69" t="s">
        <v>12</v>
      </c>
      <c r="L30" s="65"/>
    </row>
    <row r="31" spans="1:12">
      <c r="B31" s="5" t="s">
        <v>123</v>
      </c>
    </row>
    <row r="32" spans="1:12">
      <c r="B32" s="4" t="s">
        <v>33</v>
      </c>
      <c r="C32" s="36"/>
      <c r="D32" s="36">
        <f>D36+D38+D40</f>
        <v>111000</v>
      </c>
      <c r="E32" s="36">
        <f t="shared" ref="E32:F32" si="13">E36+E38+E40</f>
        <v>115000</v>
      </c>
      <c r="F32" s="82">
        <f t="shared" si="13"/>
        <v>119380</v>
      </c>
      <c r="G32" s="82">
        <f t="shared" ref="G32:J32" si="14">G36+G38+G40</f>
        <v>124595.8</v>
      </c>
      <c r="H32" s="82">
        <f t="shared" si="14"/>
        <v>131138.342</v>
      </c>
      <c r="I32" s="82">
        <f t="shared" si="14"/>
        <v>137485.60258000001</v>
      </c>
      <c r="J32" s="82">
        <f t="shared" si="14"/>
        <v>143750.86000240003</v>
      </c>
    </row>
    <row r="33" spans="1:12">
      <c r="B33" s="17" t="s">
        <v>34</v>
      </c>
      <c r="D33" s="40"/>
      <c r="E33" s="40">
        <f>E32/D32-1</f>
        <v>3.6036036036036112E-2</v>
      </c>
      <c r="F33" s="13">
        <f>F32/E32-1</f>
        <v>3.8086956521739213E-2</v>
      </c>
      <c r="G33" s="13">
        <f t="shared" ref="G33:J33" si="15">G32/F32-1</f>
        <v>4.3690735466577424E-2</v>
      </c>
      <c r="H33" s="13">
        <f t="shared" si="15"/>
        <v>5.2510132765309914E-2</v>
      </c>
      <c r="I33" s="13">
        <f t="shared" si="15"/>
        <v>4.8401256895561406E-2</v>
      </c>
      <c r="J33" s="13">
        <f t="shared" si="15"/>
        <v>4.5570280122636087E-2</v>
      </c>
    </row>
    <row r="34" spans="1:12">
      <c r="B34" s="17"/>
    </row>
    <row r="35" spans="1:12">
      <c r="B35" s="5" t="s">
        <v>122</v>
      </c>
    </row>
    <row r="36" spans="1:12">
      <c r="B36" s="12" t="s">
        <v>32</v>
      </c>
      <c r="C36" s="36"/>
      <c r="D36" s="36">
        <v>51000</v>
      </c>
      <c r="E36" s="36">
        <v>52000</v>
      </c>
      <c r="F36" s="9">
        <f>E36*(1+F37)</f>
        <v>53560</v>
      </c>
      <c r="G36" s="9">
        <f t="shared" ref="G36:J36" si="16">F36*(1+G37)</f>
        <v>55166.8</v>
      </c>
      <c r="H36" s="9">
        <f t="shared" si="16"/>
        <v>57373.472000000002</v>
      </c>
      <c r="I36" s="9">
        <f t="shared" si="16"/>
        <v>59668.410880000003</v>
      </c>
      <c r="J36" s="9">
        <f t="shared" si="16"/>
        <v>61458.463206400003</v>
      </c>
    </row>
    <row r="37" spans="1:12">
      <c r="B37" s="17" t="s">
        <v>34</v>
      </c>
      <c r="D37" s="40"/>
      <c r="E37" s="40">
        <f>E36/D36-1</f>
        <v>1.9607843137254832E-2</v>
      </c>
      <c r="F37" s="16">
        <f>+F177</f>
        <v>0.03</v>
      </c>
      <c r="G37" s="16">
        <f t="shared" ref="G37:J37" si="17">+G177</f>
        <v>0.03</v>
      </c>
      <c r="H37" s="16">
        <f t="shared" si="17"/>
        <v>0.04</v>
      </c>
      <c r="I37" s="16">
        <f t="shared" si="17"/>
        <v>0.04</v>
      </c>
      <c r="J37" s="16">
        <f t="shared" si="17"/>
        <v>0.03</v>
      </c>
    </row>
    <row r="38" spans="1:12">
      <c r="B38" s="12" t="s">
        <v>124</v>
      </c>
      <c r="C38" s="36"/>
      <c r="D38" s="36">
        <v>46000</v>
      </c>
      <c r="E38" s="36">
        <v>48000</v>
      </c>
      <c r="F38" s="9">
        <f>E38*(1+F39)</f>
        <v>49920</v>
      </c>
      <c r="G38" s="9">
        <f t="shared" ref="G38:J38" si="18">F38*(1+G39)</f>
        <v>52416</v>
      </c>
      <c r="H38" s="9">
        <f t="shared" si="18"/>
        <v>55560.960000000006</v>
      </c>
      <c r="I38" s="9">
        <f t="shared" si="18"/>
        <v>58339.008000000009</v>
      </c>
      <c r="J38" s="9">
        <f t="shared" si="18"/>
        <v>61255.95840000001</v>
      </c>
    </row>
    <row r="39" spans="1:12">
      <c r="B39" s="17" t="s">
        <v>34</v>
      </c>
      <c r="D39" s="40"/>
      <c r="E39" s="40">
        <f>E38/D38-1</f>
        <v>4.3478260869565188E-2</v>
      </c>
      <c r="F39" s="16">
        <f>+F178</f>
        <v>0.04</v>
      </c>
      <c r="G39" s="16">
        <f t="shared" ref="G39:J39" si="19">+G178</f>
        <v>0.05</v>
      </c>
      <c r="H39" s="16">
        <f t="shared" si="19"/>
        <v>0.06</v>
      </c>
      <c r="I39" s="16">
        <f t="shared" si="19"/>
        <v>0.05</v>
      </c>
      <c r="J39" s="16">
        <f t="shared" si="19"/>
        <v>0.05</v>
      </c>
    </row>
    <row r="40" spans="1:12">
      <c r="B40" s="12" t="s">
        <v>35</v>
      </c>
      <c r="D40" s="36">
        <v>14000</v>
      </c>
      <c r="E40" s="36">
        <v>15000</v>
      </c>
      <c r="F40" s="9">
        <f>E40*(1+F41)</f>
        <v>15900</v>
      </c>
      <c r="G40" s="9">
        <f t="shared" ref="G40" si="20">F40*(1+G41)</f>
        <v>17013</v>
      </c>
      <c r="H40" s="9">
        <f t="shared" ref="H40" si="21">G40*(1+H41)</f>
        <v>18203.91</v>
      </c>
      <c r="I40" s="9">
        <f t="shared" ref="I40" si="22">H40*(1+I41)</f>
        <v>19478.183700000001</v>
      </c>
      <c r="J40" s="9">
        <f t="shared" ref="J40" si="23">I40*(1+J41)</f>
        <v>21036.438396000001</v>
      </c>
    </row>
    <row r="41" spans="1:12">
      <c r="B41" s="12"/>
      <c r="D41" s="41"/>
      <c r="E41" s="40">
        <f>E40/D40-1</f>
        <v>7.1428571428571397E-2</v>
      </c>
      <c r="F41" s="16">
        <f>+F179</f>
        <v>0.06</v>
      </c>
      <c r="G41" s="16">
        <f t="shared" ref="G41:J41" si="24">+G179</f>
        <v>7.0000000000000007E-2</v>
      </c>
      <c r="H41" s="16">
        <f t="shared" si="24"/>
        <v>7.0000000000000007E-2</v>
      </c>
      <c r="I41" s="16">
        <f t="shared" si="24"/>
        <v>7.0000000000000007E-2</v>
      </c>
      <c r="J41" s="16">
        <f t="shared" si="24"/>
        <v>0.08</v>
      </c>
    </row>
    <row r="43" spans="1:12">
      <c r="A43" s="4" t="s">
        <v>30</v>
      </c>
      <c r="B43" s="6" t="s">
        <v>36</v>
      </c>
      <c r="C43" s="42"/>
      <c r="D43" s="42"/>
      <c r="E43" s="42"/>
      <c r="F43" s="7"/>
      <c r="G43" s="7"/>
      <c r="H43" s="7"/>
      <c r="I43" s="7"/>
      <c r="J43" s="7"/>
    </row>
    <row r="44" spans="1:12">
      <c r="B44" s="67"/>
      <c r="C44" s="68" t="s">
        <v>5</v>
      </c>
      <c r="D44" s="68" t="s">
        <v>6</v>
      </c>
      <c r="E44" s="68" t="s">
        <v>7</v>
      </c>
      <c r="F44" s="69" t="s">
        <v>8</v>
      </c>
      <c r="G44" s="69" t="s">
        <v>9</v>
      </c>
      <c r="H44" s="69" t="s">
        <v>10</v>
      </c>
      <c r="I44" s="69" t="s">
        <v>11</v>
      </c>
      <c r="J44" s="69" t="s">
        <v>12</v>
      </c>
      <c r="L44" s="65"/>
    </row>
    <row r="45" spans="1:12">
      <c r="B45" s="4" t="s">
        <v>37</v>
      </c>
      <c r="C45" s="37">
        <v>20000</v>
      </c>
      <c r="D45" s="37">
        <v>18275</v>
      </c>
      <c r="E45" s="37">
        <v>33400</v>
      </c>
      <c r="F45" s="19">
        <f>E45+F145</f>
        <v>39538.36</v>
      </c>
      <c r="G45" s="19">
        <f ca="1">F45+G145</f>
        <v>46377.827599999997</v>
      </c>
      <c r="H45" s="19">
        <f ca="1">G45+H145</f>
        <v>53997.942324000003</v>
      </c>
      <c r="I45" s="19">
        <f ca="1">H45+I145</f>
        <v>62696.532168760001</v>
      </c>
      <c r="J45" s="19">
        <f ca="1">I45+J145</f>
        <v>72438.398438112825</v>
      </c>
      <c r="L45" s="70"/>
    </row>
    <row r="46" spans="1:12">
      <c r="B46" s="4" t="s">
        <v>38</v>
      </c>
      <c r="C46" s="43"/>
      <c r="D46" s="37">
        <v>6000</v>
      </c>
      <c r="E46" s="37">
        <v>7000</v>
      </c>
      <c r="F46" s="10">
        <f>+F75</f>
        <v>7162.8</v>
      </c>
      <c r="G46" s="10">
        <f t="shared" ref="G46:J46" si="25">+G75</f>
        <v>7475.7480000000014</v>
      </c>
      <c r="H46" s="10">
        <f t="shared" si="25"/>
        <v>7868.3005200000016</v>
      </c>
      <c r="I46" s="10">
        <f t="shared" si="25"/>
        <v>8249.1361548000023</v>
      </c>
      <c r="J46" s="10">
        <f t="shared" si="25"/>
        <v>8625.0516001440028</v>
      </c>
    </row>
    <row r="47" spans="1:12">
      <c r="B47" s="4" t="s">
        <v>39</v>
      </c>
      <c r="C47" s="43"/>
      <c r="D47" s="37">
        <v>26000</v>
      </c>
      <c r="E47" s="37">
        <v>28000</v>
      </c>
      <c r="F47" s="10">
        <f>+F83</f>
        <v>29546.550000000003</v>
      </c>
      <c r="G47" s="10">
        <f t="shared" ref="G47:J47" si="26">+G83</f>
        <v>30837.460500000012</v>
      </c>
      <c r="H47" s="10">
        <f t="shared" si="26"/>
        <v>32456.739645000009</v>
      </c>
      <c r="I47" s="10">
        <f t="shared" si="26"/>
        <v>34027.686638550011</v>
      </c>
      <c r="J47" s="10">
        <f t="shared" si="26"/>
        <v>35578.337850594013</v>
      </c>
    </row>
    <row r="48" spans="1:12">
      <c r="B48" s="4" t="s">
        <v>40</v>
      </c>
      <c r="C48" s="37">
        <v>80000</v>
      </c>
      <c r="D48" s="37">
        <v>72000</v>
      </c>
      <c r="E48" s="37">
        <v>64000</v>
      </c>
      <c r="F48" s="9">
        <f>+F99</f>
        <v>66000</v>
      </c>
      <c r="G48" s="9">
        <f t="shared" ref="G48:J48" si="27">+G99</f>
        <v>68000</v>
      </c>
      <c r="H48" s="9">
        <f t="shared" si="27"/>
        <v>70000</v>
      </c>
      <c r="I48" s="9">
        <f t="shared" si="27"/>
        <v>72000</v>
      </c>
      <c r="J48" s="9">
        <f t="shared" si="27"/>
        <v>74000</v>
      </c>
    </row>
    <row r="49" spans="2:10">
      <c r="B49" s="20" t="s">
        <v>41</v>
      </c>
      <c r="C49" s="46">
        <f t="shared" ref="C49:J49" si="28">SUM(C45:C48)</f>
        <v>100000</v>
      </c>
      <c r="D49" s="46">
        <f t="shared" si="28"/>
        <v>122275</v>
      </c>
      <c r="E49" s="46">
        <f t="shared" si="28"/>
        <v>132400</v>
      </c>
      <c r="F49" s="46">
        <f t="shared" si="28"/>
        <v>142247.71000000002</v>
      </c>
      <c r="G49" s="46">
        <f t="shared" ca="1" si="28"/>
        <v>152691.03610000003</v>
      </c>
      <c r="H49" s="46">
        <f t="shared" ca="1" si="28"/>
        <v>164322.98248900002</v>
      </c>
      <c r="I49" s="46">
        <f t="shared" ca="1" si="28"/>
        <v>176973.35496211002</v>
      </c>
      <c r="J49" s="46">
        <f t="shared" ca="1" si="28"/>
        <v>190641.78788885084</v>
      </c>
    </row>
    <row r="50" spans="2:10">
      <c r="B50" s="21"/>
      <c r="C50" s="44"/>
      <c r="D50" s="37"/>
      <c r="E50" s="37"/>
    </row>
    <row r="51" spans="2:10">
      <c r="B51" s="4" t="s">
        <v>42</v>
      </c>
      <c r="C51" s="43"/>
      <c r="D51" s="37">
        <v>9750</v>
      </c>
      <c r="E51" s="37">
        <v>10500</v>
      </c>
      <c r="F51" s="10">
        <f>+F90</f>
        <v>11281.41</v>
      </c>
      <c r="G51" s="10">
        <f t="shared" ref="G51:J51" si="29">+G90</f>
        <v>11774.303100000003</v>
      </c>
      <c r="H51" s="10">
        <f t="shared" si="29"/>
        <v>12392.573319000001</v>
      </c>
      <c r="I51" s="10">
        <f t="shared" si="29"/>
        <v>12992.389443810001</v>
      </c>
      <c r="J51" s="10">
        <f t="shared" si="29"/>
        <v>13584.456270226803</v>
      </c>
    </row>
    <row r="52" spans="2:10">
      <c r="B52" s="4" t="s">
        <v>43</v>
      </c>
      <c r="C52" s="43"/>
      <c r="D52" s="37">
        <v>0</v>
      </c>
      <c r="E52" s="37">
        <v>0</v>
      </c>
      <c r="F52" s="9">
        <f>F158</f>
        <v>0</v>
      </c>
      <c r="G52" s="9">
        <f ca="1">G158</f>
        <v>0</v>
      </c>
      <c r="H52" s="9">
        <f ca="1">H158</f>
        <v>0</v>
      </c>
      <c r="I52" s="9">
        <f ca="1">I158</f>
        <v>0</v>
      </c>
      <c r="J52" s="9">
        <f ca="1">J158</f>
        <v>0</v>
      </c>
    </row>
    <row r="53" spans="2:10">
      <c r="B53" s="4" t="s">
        <v>44</v>
      </c>
      <c r="C53" s="37">
        <v>50000</v>
      </c>
      <c r="D53" s="37">
        <v>44000</v>
      </c>
      <c r="E53" s="37">
        <v>38000</v>
      </c>
      <c r="F53" s="9">
        <f>+F107</f>
        <v>32000</v>
      </c>
      <c r="G53" s="9">
        <f t="shared" ref="G53:J53" si="30">+G107</f>
        <v>26000</v>
      </c>
      <c r="H53" s="9">
        <f t="shared" si="30"/>
        <v>20000</v>
      </c>
      <c r="I53" s="9">
        <f t="shared" si="30"/>
        <v>14000</v>
      </c>
      <c r="J53" s="9">
        <f t="shared" si="30"/>
        <v>8000</v>
      </c>
    </row>
    <row r="54" spans="2:10">
      <c r="B54" s="20" t="s">
        <v>45</v>
      </c>
      <c r="C54" s="46">
        <f t="shared" ref="C54:J54" si="31">SUM(C51:C53)</f>
        <v>50000</v>
      </c>
      <c r="D54" s="46">
        <f t="shared" si="31"/>
        <v>53750</v>
      </c>
      <c r="E54" s="46">
        <f t="shared" si="31"/>
        <v>48500</v>
      </c>
      <c r="F54" s="46">
        <f t="shared" si="31"/>
        <v>43281.41</v>
      </c>
      <c r="G54" s="46">
        <f t="shared" ca="1" si="31"/>
        <v>37774.303100000005</v>
      </c>
      <c r="H54" s="46">
        <f t="shared" ca="1" si="31"/>
        <v>32392.573319000003</v>
      </c>
      <c r="I54" s="46">
        <f t="shared" ca="1" si="31"/>
        <v>26992.389443810003</v>
      </c>
      <c r="J54" s="46">
        <f t="shared" ca="1" si="31"/>
        <v>21584.456270226801</v>
      </c>
    </row>
    <row r="55" spans="2:10">
      <c r="B55" s="20"/>
      <c r="C55" s="45"/>
      <c r="D55" s="46"/>
      <c r="E55" s="46"/>
    </row>
    <row r="56" spans="2:10">
      <c r="B56" s="21" t="s">
        <v>46</v>
      </c>
      <c r="C56" s="43">
        <v>50000</v>
      </c>
      <c r="D56" s="37">
        <v>50000</v>
      </c>
      <c r="E56" s="37">
        <v>50000</v>
      </c>
      <c r="F56" s="10">
        <f>+F120</f>
        <v>50000</v>
      </c>
      <c r="G56" s="10">
        <f t="shared" ref="G56:J56" si="32">+G120</f>
        <v>50000</v>
      </c>
      <c r="H56" s="10">
        <f t="shared" si="32"/>
        <v>50000</v>
      </c>
      <c r="I56" s="10">
        <f t="shared" si="32"/>
        <v>50000</v>
      </c>
      <c r="J56" s="10">
        <f t="shared" si="32"/>
        <v>50000</v>
      </c>
    </row>
    <row r="57" spans="2:10">
      <c r="B57" s="21" t="s">
        <v>47</v>
      </c>
      <c r="C57" s="43"/>
      <c r="D57" s="37">
        <f>+C57+D18</f>
        <v>18525</v>
      </c>
      <c r="E57" s="37">
        <f>+D57+E18</f>
        <v>33900</v>
      </c>
      <c r="F57" s="10">
        <f>+F126</f>
        <v>48966.3</v>
      </c>
      <c r="G57" s="10">
        <f t="shared" ref="G57:J57" ca="1" si="33">+G126</f>
        <v>64916.733000000007</v>
      </c>
      <c r="H57" s="10">
        <f t="shared" ca="1" si="33"/>
        <v>81930.409170000014</v>
      </c>
      <c r="I57" s="10">
        <f t="shared" ca="1" si="33"/>
        <v>99980.965518300014</v>
      </c>
      <c r="J57" s="10">
        <f t="shared" ca="1" si="33"/>
        <v>119057.33161862404</v>
      </c>
    </row>
    <row r="58" spans="2:10">
      <c r="B58" s="20" t="s">
        <v>48</v>
      </c>
      <c r="C58" s="46">
        <f t="shared" ref="C58:J58" si="34">SUM(C56:C57)</f>
        <v>50000</v>
      </c>
      <c r="D58" s="46">
        <f t="shared" si="34"/>
        <v>68525</v>
      </c>
      <c r="E58" s="46">
        <f t="shared" si="34"/>
        <v>83900</v>
      </c>
      <c r="F58" s="46">
        <f t="shared" si="34"/>
        <v>98966.3</v>
      </c>
      <c r="G58" s="46">
        <f t="shared" ca="1" si="34"/>
        <v>114916.73300000001</v>
      </c>
      <c r="H58" s="46">
        <f t="shared" ca="1" si="34"/>
        <v>131930.40917</v>
      </c>
      <c r="I58" s="46">
        <f t="shared" ca="1" si="34"/>
        <v>149980.96551830001</v>
      </c>
      <c r="J58" s="46">
        <f t="shared" ca="1" si="34"/>
        <v>169057.33161862404</v>
      </c>
    </row>
    <row r="59" spans="2:10">
      <c r="C59" s="43"/>
      <c r="D59" s="47"/>
      <c r="E59" s="47"/>
    </row>
    <row r="60" spans="2:10">
      <c r="B60" s="8" t="s">
        <v>49</v>
      </c>
      <c r="C60" s="47">
        <f>+C49-C54-C58</f>
        <v>0</v>
      </c>
      <c r="D60" s="47">
        <f t="shared" ref="D60:J60" si="35">D49-D54-D58</f>
        <v>0</v>
      </c>
      <c r="E60" s="47">
        <f t="shared" si="35"/>
        <v>0</v>
      </c>
      <c r="F60" s="47">
        <f t="shared" si="35"/>
        <v>0</v>
      </c>
      <c r="G60" s="47">
        <f t="shared" ca="1" si="35"/>
        <v>0</v>
      </c>
      <c r="H60" s="47">
        <f t="shared" ca="1" si="35"/>
        <v>0</v>
      </c>
      <c r="I60" s="47">
        <f t="shared" ca="1" si="35"/>
        <v>0</v>
      </c>
      <c r="J60" s="47">
        <f t="shared" ca="1" si="35"/>
        <v>0</v>
      </c>
    </row>
    <row r="61" spans="2:10">
      <c r="C61" s="48"/>
      <c r="D61" s="48"/>
      <c r="E61" s="48"/>
    </row>
    <row r="62" spans="2:10">
      <c r="B62" s="5" t="s">
        <v>50</v>
      </c>
      <c r="C62" s="48"/>
      <c r="D62" s="48"/>
      <c r="E62" s="48"/>
    </row>
    <row r="63" spans="2:10">
      <c r="B63" s="4" t="s">
        <v>51</v>
      </c>
      <c r="C63" s="48"/>
      <c r="D63" s="48">
        <f t="shared" ref="D63:J63" si="36">D18/D8</f>
        <v>0.16689189189189188</v>
      </c>
      <c r="E63" s="48">
        <f t="shared" si="36"/>
        <v>0.13369565217391305</v>
      </c>
      <c r="F63" s="48">
        <f t="shared" si="36"/>
        <v>0.12620455687719889</v>
      </c>
      <c r="G63" s="48">
        <f t="shared" ca="1" si="36"/>
        <v>0.1280174211329756</v>
      </c>
      <c r="H63" s="48">
        <f t="shared" ca="1" si="36"/>
        <v>0.12973838093820039</v>
      </c>
      <c r="I63" s="48">
        <f t="shared" ca="1" si="36"/>
        <v>0.13129052067685962</v>
      </c>
      <c r="J63" s="48">
        <f t="shared" ca="1" si="36"/>
        <v>0.13270436156003185</v>
      </c>
    </row>
    <row r="64" spans="2:10">
      <c r="B64" s="4" t="s">
        <v>52</v>
      </c>
      <c r="C64" s="48"/>
      <c r="D64" s="48">
        <f t="shared" ref="D64:J64" si="37">D18/D49</f>
        <v>0.15150276017174402</v>
      </c>
      <c r="E64" s="48">
        <f t="shared" si="37"/>
        <v>0.11612537764350453</v>
      </c>
      <c r="F64" s="48">
        <f t="shared" si="37"/>
        <v>0.1059159405799925</v>
      </c>
      <c r="G64" s="48">
        <f t="shared" ca="1" si="37"/>
        <v>0.10446214399615304</v>
      </c>
      <c r="H64" s="48">
        <f t="shared" ca="1" si="37"/>
        <v>0.10353801952894158</v>
      </c>
      <c r="I64" s="48">
        <f t="shared" ca="1" si="37"/>
        <v>0.10199589849084696</v>
      </c>
      <c r="J64" s="48">
        <f t="shared" ca="1" si="37"/>
        <v>0.1000639278070873</v>
      </c>
    </row>
    <row r="65" spans="2:13">
      <c r="B65" s="4" t="s">
        <v>53</v>
      </c>
      <c r="C65" s="48"/>
      <c r="D65" s="48">
        <f t="shared" ref="D65:J65" si="38">D18/D58</f>
        <v>0.27033929222911346</v>
      </c>
      <c r="E65" s="48">
        <f t="shared" si="38"/>
        <v>0.18325387365911799</v>
      </c>
      <c r="F65" s="48">
        <f t="shared" si="38"/>
        <v>0.15223667046257167</v>
      </c>
      <c r="G65" s="48">
        <f t="shared" ca="1" si="38"/>
        <v>0.13879991697988842</v>
      </c>
      <c r="H65" s="48">
        <f t="shared" ca="1" si="38"/>
        <v>0.1289594739911471</v>
      </c>
      <c r="I65" s="48">
        <f t="shared" ca="1" si="38"/>
        <v>0.12035231461486726</v>
      </c>
      <c r="J65" s="48">
        <f t="shared" ca="1" si="38"/>
        <v>0.11283962616515408</v>
      </c>
    </row>
    <row r="66" spans="2:13">
      <c r="B66" s="4" t="s">
        <v>54</v>
      </c>
      <c r="C66" s="48"/>
      <c r="D66" s="48">
        <f>(D52+D53)/D58</f>
        <v>0.64210142283838012</v>
      </c>
      <c r="E66" s="48">
        <f t="shared" ref="E66:J66" si="39">(E52+E53)/E58</f>
        <v>0.45292014302741357</v>
      </c>
      <c r="F66" s="48">
        <f t="shared" si="39"/>
        <v>0.32334239028841127</v>
      </c>
      <c r="G66" s="48">
        <f t="shared" ca="1" si="39"/>
        <v>0.22625077585524467</v>
      </c>
      <c r="H66" s="48">
        <f t="shared" ca="1" si="39"/>
        <v>0.1515950729314334</v>
      </c>
      <c r="I66" s="48">
        <f t="shared" ca="1" si="39"/>
        <v>9.3345178513948038E-2</v>
      </c>
      <c r="J66" s="48">
        <f t="shared" ca="1" si="39"/>
        <v>4.732122483777975E-2</v>
      </c>
    </row>
    <row r="67" spans="2:13">
      <c r="B67" s="4" t="s">
        <v>55</v>
      </c>
      <c r="C67" s="48"/>
      <c r="D67" s="49">
        <f t="shared" ref="D67:J67" si="40">D8/D49</f>
        <v>0.90778981803312209</v>
      </c>
      <c r="E67" s="49">
        <f t="shared" si="40"/>
        <v>0.86858006042296076</v>
      </c>
      <c r="F67" s="49">
        <f t="shared" si="40"/>
        <v>0.83924022397267417</v>
      </c>
      <c r="G67" s="49">
        <f t="shared" ca="1" si="40"/>
        <v>0.81599944032339966</v>
      </c>
      <c r="H67" s="49">
        <f t="shared" ca="1" si="40"/>
        <v>0.79805234796525548</v>
      </c>
      <c r="I67" s="49">
        <f t="shared" ca="1" si="40"/>
        <v>0.77687176473224284</v>
      </c>
      <c r="J67" s="49">
        <f t="shared" ca="1" si="40"/>
        <v>0.75403646595158125</v>
      </c>
    </row>
    <row r="68" spans="2:13" ht="14.25" customHeight="1"/>
    <row r="69" spans="2:13">
      <c r="B69" s="6" t="s">
        <v>56</v>
      </c>
      <c r="C69" s="42"/>
      <c r="D69" s="42"/>
      <c r="E69" s="42"/>
      <c r="F69" s="7"/>
      <c r="G69" s="7"/>
      <c r="H69" s="7"/>
      <c r="I69" s="7"/>
      <c r="J69" s="7"/>
    </row>
    <row r="70" spans="2:13">
      <c r="B70" s="67"/>
      <c r="C70" s="68" t="s">
        <v>5</v>
      </c>
      <c r="D70" s="68" t="s">
        <v>6</v>
      </c>
      <c r="E70" s="68" t="s">
        <v>7</v>
      </c>
      <c r="F70" s="69" t="s">
        <v>8</v>
      </c>
      <c r="G70" s="69" t="s">
        <v>9</v>
      </c>
      <c r="H70" s="69" t="s">
        <v>10</v>
      </c>
      <c r="I70" s="69" t="s">
        <v>11</v>
      </c>
      <c r="J70" s="69" t="s">
        <v>12</v>
      </c>
      <c r="L70" s="65"/>
    </row>
    <row r="71" spans="2:13">
      <c r="C71" s="50"/>
      <c r="D71" s="51"/>
      <c r="E71" s="51"/>
    </row>
    <row r="72" spans="2:13">
      <c r="B72" s="5" t="s">
        <v>38</v>
      </c>
      <c r="C72" s="33"/>
      <c r="D72" s="33"/>
      <c r="E72" s="33"/>
    </row>
    <row r="73" spans="2:13">
      <c r="B73" s="12" t="s">
        <v>57</v>
      </c>
      <c r="F73" s="10">
        <f>E75</f>
        <v>7000</v>
      </c>
      <c r="G73" s="10">
        <f>F75</f>
        <v>7162.8</v>
      </c>
      <c r="H73" s="10">
        <f>G75</f>
        <v>7475.7480000000014</v>
      </c>
      <c r="I73" s="10">
        <f t="shared" ref="I73:J73" si="41">H75</f>
        <v>7868.3005200000016</v>
      </c>
      <c r="J73" s="10">
        <f t="shared" si="41"/>
        <v>8249.1361548000023</v>
      </c>
    </row>
    <row r="74" spans="2:13">
      <c r="B74" s="23" t="s">
        <v>58</v>
      </c>
      <c r="F74" s="10">
        <f>F75-F73</f>
        <v>162.80000000000018</v>
      </c>
      <c r="G74" s="10">
        <f t="shared" ref="G74:J74" si="42">G75-G73</f>
        <v>312.94800000000123</v>
      </c>
      <c r="H74" s="10">
        <f t="shared" si="42"/>
        <v>392.55252000000019</v>
      </c>
      <c r="I74" s="10">
        <f t="shared" si="42"/>
        <v>380.83563480000066</v>
      </c>
      <c r="J74" s="10">
        <f t="shared" si="42"/>
        <v>375.91544534400055</v>
      </c>
    </row>
    <row r="75" spans="2:13">
      <c r="B75" s="12" t="s">
        <v>59</v>
      </c>
      <c r="C75" s="52"/>
      <c r="D75" s="37">
        <f>D46</f>
        <v>6000</v>
      </c>
      <c r="E75" s="37">
        <f>E46</f>
        <v>7000</v>
      </c>
      <c r="F75" s="10">
        <f>F77*F8</f>
        <v>7162.8</v>
      </c>
      <c r="G75" s="10">
        <f>G77*G8</f>
        <v>7475.7480000000014</v>
      </c>
      <c r="H75" s="10">
        <f>H77*H8</f>
        <v>7868.3005200000016</v>
      </c>
      <c r="I75" s="10">
        <f>I77*I8</f>
        <v>8249.1361548000023</v>
      </c>
      <c r="J75" s="10">
        <f>J77*J8</f>
        <v>8625.0516001440028</v>
      </c>
    </row>
    <row r="76" spans="2:13">
      <c r="C76" s="43"/>
    </row>
    <row r="77" spans="2:13">
      <c r="B77" s="12" t="s">
        <v>60</v>
      </c>
      <c r="C77" s="48"/>
      <c r="D77" s="48">
        <f>D75/D8</f>
        <v>5.4054054054054057E-2</v>
      </c>
      <c r="E77" s="48">
        <f>E75/E8</f>
        <v>6.0869565217391307E-2</v>
      </c>
      <c r="F77" s="24">
        <v>0.06</v>
      </c>
      <c r="G77" s="24">
        <v>0.06</v>
      </c>
      <c r="H77" s="24">
        <v>0.06</v>
      </c>
      <c r="I77" s="24">
        <v>0.06</v>
      </c>
      <c r="J77" s="24">
        <v>0.06</v>
      </c>
    </row>
    <row r="78" spans="2:13">
      <c r="B78" s="12" t="s">
        <v>61</v>
      </c>
      <c r="C78" s="48"/>
      <c r="D78" s="53">
        <f>D77*365</f>
        <v>19.72972972972973</v>
      </c>
      <c r="E78" s="53">
        <f>E77*365</f>
        <v>22.217391304347828</v>
      </c>
      <c r="F78" s="2">
        <f>F77*365</f>
        <v>21.9</v>
      </c>
      <c r="G78" s="2">
        <f t="shared" ref="G78:J78" si="43">G77*365</f>
        <v>21.9</v>
      </c>
      <c r="H78" s="2">
        <f t="shared" si="43"/>
        <v>21.9</v>
      </c>
      <c r="I78" s="2">
        <f t="shared" si="43"/>
        <v>21.9</v>
      </c>
      <c r="J78" s="2">
        <f t="shared" si="43"/>
        <v>21.9</v>
      </c>
      <c r="M78" s="10"/>
    </row>
    <row r="79" spans="2:13">
      <c r="C79" s="48"/>
      <c r="M79" s="10"/>
    </row>
    <row r="80" spans="2:13">
      <c r="B80" s="5" t="s">
        <v>62</v>
      </c>
      <c r="C80" s="33"/>
      <c r="M80" s="10"/>
    </row>
    <row r="81" spans="2:10">
      <c r="B81" s="12" t="s">
        <v>57</v>
      </c>
      <c r="F81" s="10">
        <f>E83</f>
        <v>28000</v>
      </c>
      <c r="G81" s="10">
        <f t="shared" ref="G81:J81" si="44">F83</f>
        <v>29546.550000000003</v>
      </c>
      <c r="H81" s="10">
        <f t="shared" si="44"/>
        <v>30837.460500000012</v>
      </c>
      <c r="I81" s="10">
        <f t="shared" si="44"/>
        <v>32456.739645000009</v>
      </c>
      <c r="J81" s="10">
        <f t="shared" si="44"/>
        <v>34027.686638550011</v>
      </c>
    </row>
    <row r="82" spans="2:10">
      <c r="B82" s="23" t="s">
        <v>58</v>
      </c>
      <c r="F82" s="10">
        <f>F83-F81</f>
        <v>1546.5500000000029</v>
      </c>
      <c r="G82" s="10">
        <f t="shared" ref="G82:J82" si="45">G83-G81</f>
        <v>1290.9105000000091</v>
      </c>
      <c r="H82" s="10">
        <f t="shared" si="45"/>
        <v>1619.2791449999968</v>
      </c>
      <c r="I82" s="10">
        <f t="shared" si="45"/>
        <v>1570.9469935500019</v>
      </c>
      <c r="J82" s="10">
        <f t="shared" si="45"/>
        <v>1550.651212044002</v>
      </c>
    </row>
    <row r="83" spans="2:10">
      <c r="B83" s="12" t="s">
        <v>59</v>
      </c>
      <c r="C83" s="52"/>
      <c r="D83" s="37">
        <f>D47</f>
        <v>26000</v>
      </c>
      <c r="E83" s="37">
        <f>E47</f>
        <v>28000</v>
      </c>
      <c r="F83" s="10">
        <f>-(F85*F9)</f>
        <v>29546.550000000003</v>
      </c>
      <c r="G83" s="10">
        <f>-(G85*G9)</f>
        <v>30837.460500000012</v>
      </c>
      <c r="H83" s="10">
        <f>-(H85*H9)</f>
        <v>32456.739645000009</v>
      </c>
      <c r="I83" s="10">
        <f>-(I85*I9)</f>
        <v>34027.686638550011</v>
      </c>
      <c r="J83" s="10">
        <f>-(J85*J9)</f>
        <v>35578.337850594013</v>
      </c>
    </row>
    <row r="84" spans="2:10">
      <c r="C84" s="43"/>
    </row>
    <row r="85" spans="2:10">
      <c r="B85" s="12" t="s">
        <v>63</v>
      </c>
      <c r="C85" s="48"/>
      <c r="D85" s="48">
        <f>-(D83/D9)</f>
        <v>0.52</v>
      </c>
      <c r="E85" s="48">
        <f>-(E83/E9)</f>
        <v>0.52830188679245282</v>
      </c>
      <c r="F85" s="24">
        <v>0.55000000000000004</v>
      </c>
      <c r="G85" s="24">
        <v>0.55000000000000004</v>
      </c>
      <c r="H85" s="24">
        <v>0.55000000000000004</v>
      </c>
      <c r="I85" s="24">
        <v>0.55000000000000004</v>
      </c>
      <c r="J85" s="24">
        <v>0.55000000000000004</v>
      </c>
    </row>
    <row r="87" spans="2:10">
      <c r="B87" s="5" t="s">
        <v>42</v>
      </c>
      <c r="C87" s="33"/>
    </row>
    <row r="88" spans="2:10">
      <c r="B88" s="12" t="s">
        <v>57</v>
      </c>
      <c r="F88" s="10">
        <f>E90</f>
        <v>10500</v>
      </c>
      <c r="G88" s="10">
        <f t="shared" ref="G88:J88" si="46">F90</f>
        <v>11281.41</v>
      </c>
      <c r="H88" s="10">
        <f t="shared" si="46"/>
        <v>11774.303100000003</v>
      </c>
      <c r="I88" s="10">
        <f t="shared" si="46"/>
        <v>12392.573319000001</v>
      </c>
      <c r="J88" s="10">
        <f t="shared" si="46"/>
        <v>12992.389443810001</v>
      </c>
    </row>
    <row r="89" spans="2:10">
      <c r="B89" s="23" t="s">
        <v>58</v>
      </c>
      <c r="F89" s="10">
        <f>F90-F88</f>
        <v>781.40999999999985</v>
      </c>
      <c r="G89" s="10">
        <f t="shared" ref="G89:J89" si="47">G90-G88</f>
        <v>492.89310000000296</v>
      </c>
      <c r="H89" s="10">
        <f t="shared" si="47"/>
        <v>618.27021899999818</v>
      </c>
      <c r="I89" s="10">
        <f t="shared" si="47"/>
        <v>599.81612481000047</v>
      </c>
      <c r="J89" s="10">
        <f t="shared" si="47"/>
        <v>592.06682641680163</v>
      </c>
    </row>
    <row r="90" spans="2:10">
      <c r="B90" s="12" t="s">
        <v>59</v>
      </c>
      <c r="C90" s="52"/>
      <c r="D90" s="37">
        <f>D51</f>
        <v>9750</v>
      </c>
      <c r="E90" s="37">
        <f>E51</f>
        <v>10500</v>
      </c>
      <c r="F90" s="10">
        <f>-(F92*F9)</f>
        <v>11281.41</v>
      </c>
      <c r="G90" s="10">
        <f>-(G92*G9)</f>
        <v>11774.303100000003</v>
      </c>
      <c r="H90" s="10">
        <f>-(H92*H9)</f>
        <v>12392.573319000001</v>
      </c>
      <c r="I90" s="10">
        <f>-(I92*I9)</f>
        <v>12992.389443810001</v>
      </c>
      <c r="J90" s="10">
        <f>-(J92*J9)</f>
        <v>13584.456270226803</v>
      </c>
    </row>
    <row r="91" spans="2:10">
      <c r="C91" s="48"/>
    </row>
    <row r="92" spans="2:10">
      <c r="B92" s="12" t="s">
        <v>64</v>
      </c>
      <c r="C92" s="48"/>
      <c r="D92" s="48">
        <f>-(D90/D9)</f>
        <v>0.19500000000000001</v>
      </c>
      <c r="E92" s="48">
        <f>-(E90/E9)</f>
        <v>0.19811320754716982</v>
      </c>
      <c r="F92" s="24">
        <v>0.21</v>
      </c>
      <c r="G92" s="24">
        <v>0.21</v>
      </c>
      <c r="H92" s="24">
        <v>0.21</v>
      </c>
      <c r="I92" s="24">
        <v>0.21</v>
      </c>
      <c r="J92" s="24">
        <v>0.21</v>
      </c>
    </row>
    <row r="93" spans="2:10">
      <c r="B93" s="12" t="s">
        <v>65</v>
      </c>
      <c r="C93" s="48"/>
      <c r="D93" s="53">
        <f>D92*365</f>
        <v>71.174999999999997</v>
      </c>
      <c r="E93" s="53">
        <f>E92*365</f>
        <v>72.311320754716988</v>
      </c>
      <c r="F93" s="53">
        <f t="shared" ref="F93:J93" si="48">F92*365</f>
        <v>76.649999999999991</v>
      </c>
      <c r="G93" s="53">
        <f t="shared" si="48"/>
        <v>76.649999999999991</v>
      </c>
      <c r="H93" s="53">
        <f t="shared" si="48"/>
        <v>76.649999999999991</v>
      </c>
      <c r="I93" s="53">
        <f t="shared" si="48"/>
        <v>76.649999999999991</v>
      </c>
      <c r="J93" s="53">
        <f t="shared" si="48"/>
        <v>76.649999999999991</v>
      </c>
    </row>
    <row r="94" spans="2:10">
      <c r="C94" s="48"/>
    </row>
    <row r="95" spans="2:10">
      <c r="B95" s="6" t="s">
        <v>66</v>
      </c>
      <c r="C95" s="35"/>
      <c r="D95" s="35"/>
      <c r="E95" s="35"/>
      <c r="F95" s="7"/>
      <c r="G95" s="7"/>
      <c r="H95" s="7"/>
      <c r="I95" s="7"/>
      <c r="J95" s="7"/>
    </row>
    <row r="96" spans="2:10">
      <c r="B96" s="12" t="s">
        <v>57</v>
      </c>
      <c r="E96" s="37">
        <f>D99</f>
        <v>72000</v>
      </c>
      <c r="F96" s="10">
        <f>E99</f>
        <v>64000</v>
      </c>
      <c r="G96" s="10">
        <f t="shared" ref="G96:J96" si="49">F99</f>
        <v>66000</v>
      </c>
      <c r="H96" s="10">
        <f t="shared" si="49"/>
        <v>68000</v>
      </c>
      <c r="I96" s="10">
        <f t="shared" si="49"/>
        <v>70000</v>
      </c>
      <c r="J96" s="10">
        <f t="shared" si="49"/>
        <v>72000</v>
      </c>
    </row>
    <row r="97" spans="2:10">
      <c r="B97" s="23" t="s">
        <v>67</v>
      </c>
      <c r="F97" s="10">
        <f>F101</f>
        <v>10000</v>
      </c>
      <c r="G97" s="10">
        <f t="shared" ref="G97:J97" si="50">G101</f>
        <v>10000</v>
      </c>
      <c r="H97" s="10">
        <f t="shared" si="50"/>
        <v>10000</v>
      </c>
      <c r="I97" s="10">
        <f t="shared" si="50"/>
        <v>10000</v>
      </c>
      <c r="J97" s="10">
        <f t="shared" si="50"/>
        <v>10000</v>
      </c>
    </row>
    <row r="98" spans="2:10">
      <c r="B98" s="23" t="s">
        <v>68</v>
      </c>
      <c r="F98" s="10">
        <f>F102</f>
        <v>-8000</v>
      </c>
      <c r="G98" s="10">
        <f t="shared" ref="G98:J98" si="51">G102</f>
        <v>-8000</v>
      </c>
      <c r="H98" s="10">
        <f t="shared" si="51"/>
        <v>-8000</v>
      </c>
      <c r="I98" s="10">
        <f t="shared" si="51"/>
        <v>-8000</v>
      </c>
      <c r="J98" s="10">
        <f t="shared" si="51"/>
        <v>-8000</v>
      </c>
    </row>
    <row r="99" spans="2:10">
      <c r="B99" s="12" t="s">
        <v>59</v>
      </c>
      <c r="D99" s="37">
        <f>D48</f>
        <v>72000</v>
      </c>
      <c r="E99" s="37">
        <f>E48</f>
        <v>64000</v>
      </c>
      <c r="F99" s="10">
        <f>SUM(F96:F98)</f>
        <v>66000</v>
      </c>
      <c r="G99" s="10">
        <f t="shared" ref="G99:J99" si="52">SUM(G96:G98)</f>
        <v>68000</v>
      </c>
      <c r="H99" s="10">
        <f t="shared" si="52"/>
        <v>70000</v>
      </c>
      <c r="I99" s="10">
        <f t="shared" si="52"/>
        <v>72000</v>
      </c>
      <c r="J99" s="10">
        <f t="shared" si="52"/>
        <v>74000</v>
      </c>
    </row>
    <row r="100" spans="2:10">
      <c r="B100" s="12"/>
    </row>
    <row r="101" spans="2:10">
      <c r="B101" s="12" t="s">
        <v>69</v>
      </c>
      <c r="C101" s="37"/>
      <c r="D101" s="37">
        <v>0</v>
      </c>
      <c r="E101" s="37">
        <v>0</v>
      </c>
      <c r="F101" s="25">
        <v>10000</v>
      </c>
      <c r="G101" s="25">
        <v>10000</v>
      </c>
      <c r="H101" s="25">
        <v>10000</v>
      </c>
      <c r="I101" s="25">
        <v>10000</v>
      </c>
      <c r="J101" s="25">
        <v>10000</v>
      </c>
    </row>
    <row r="102" spans="2:10">
      <c r="B102" s="12" t="s">
        <v>70</v>
      </c>
      <c r="C102" s="37"/>
      <c r="D102" s="37">
        <f>10%*C48</f>
        <v>8000</v>
      </c>
      <c r="E102" s="37">
        <f>D102</f>
        <v>8000</v>
      </c>
      <c r="F102" s="25">
        <v>-8000</v>
      </c>
      <c r="G102" s="25">
        <v>-8000</v>
      </c>
      <c r="H102" s="25">
        <v>-8000</v>
      </c>
      <c r="I102" s="25">
        <v>-8000</v>
      </c>
      <c r="J102" s="25">
        <v>-8000</v>
      </c>
    </row>
    <row r="104" spans="2:10">
      <c r="B104" s="20" t="s">
        <v>71</v>
      </c>
    </row>
    <row r="105" spans="2:10">
      <c r="B105" s="12" t="s">
        <v>57</v>
      </c>
      <c r="F105" s="10">
        <f>E107</f>
        <v>38000</v>
      </c>
      <c r="G105" s="10">
        <f t="shared" ref="G105:J105" si="53">F107</f>
        <v>32000</v>
      </c>
      <c r="H105" s="10">
        <f t="shared" si="53"/>
        <v>26000</v>
      </c>
      <c r="I105" s="10">
        <f t="shared" si="53"/>
        <v>20000</v>
      </c>
      <c r="J105" s="10">
        <f t="shared" si="53"/>
        <v>14000</v>
      </c>
    </row>
    <row r="106" spans="2:10">
      <c r="B106" s="12" t="s">
        <v>72</v>
      </c>
      <c r="F106" s="25">
        <v>-6000</v>
      </c>
      <c r="G106" s="25">
        <v>-6000</v>
      </c>
      <c r="H106" s="25">
        <v>-6000</v>
      </c>
      <c r="I106" s="25">
        <v>-6000</v>
      </c>
      <c r="J106" s="25">
        <v>-6000</v>
      </c>
    </row>
    <row r="107" spans="2:10">
      <c r="B107" s="12" t="s">
        <v>59</v>
      </c>
      <c r="D107" s="37">
        <f>D53</f>
        <v>44000</v>
      </c>
      <c r="E107" s="37">
        <f>E53</f>
        <v>38000</v>
      </c>
      <c r="F107" s="10">
        <f>SUM(F105:F106)</f>
        <v>32000</v>
      </c>
      <c r="G107" s="10">
        <f>SUM(G105:G106)</f>
        <v>26000</v>
      </c>
      <c r="H107" s="10">
        <f>SUM(H105:H106)</f>
        <v>20000</v>
      </c>
      <c r="I107" s="10">
        <f>SUM(I105:I106)</f>
        <v>14000</v>
      </c>
      <c r="J107" s="10">
        <f>SUM(J105:J106)</f>
        <v>8000</v>
      </c>
    </row>
    <row r="109" spans="2:10">
      <c r="B109" s="12" t="s">
        <v>73</v>
      </c>
      <c r="D109" s="37">
        <f>D15</f>
        <v>-1500</v>
      </c>
      <c r="E109" s="37">
        <f>E15</f>
        <v>-1400</v>
      </c>
      <c r="F109" s="10">
        <f>-F110*AVERAGE(F105,F107)</f>
        <v>-1400</v>
      </c>
      <c r="G109" s="10">
        <f t="shared" ref="G109:J109" si="54">-G110*AVERAGE(G105,G107)</f>
        <v>-1160</v>
      </c>
      <c r="H109" s="10">
        <f t="shared" si="54"/>
        <v>-920</v>
      </c>
      <c r="I109" s="10">
        <f t="shared" si="54"/>
        <v>-680</v>
      </c>
      <c r="J109" s="10">
        <f t="shared" si="54"/>
        <v>-440</v>
      </c>
    </row>
    <row r="110" spans="2:10">
      <c r="B110" s="12" t="s">
        <v>74</v>
      </c>
      <c r="F110" s="24">
        <v>0.04</v>
      </c>
      <c r="G110" s="24">
        <v>0.04</v>
      </c>
      <c r="H110" s="24">
        <v>0.04</v>
      </c>
      <c r="I110" s="24">
        <v>0.04</v>
      </c>
      <c r="J110" s="24">
        <v>0.04</v>
      </c>
    </row>
    <row r="111" spans="2:10">
      <c r="B111" s="12"/>
    </row>
    <row r="112" spans="2:10">
      <c r="B112" s="4" t="s">
        <v>75</v>
      </c>
      <c r="D112" s="41">
        <f t="shared" ref="D112:J112" si="55">D107/D49</f>
        <v>0.35984461255367001</v>
      </c>
      <c r="E112" s="41">
        <f t="shared" si="55"/>
        <v>0.28700906344410876</v>
      </c>
      <c r="F112" s="41">
        <f t="shared" si="55"/>
        <v>0.22495968476399369</v>
      </c>
      <c r="G112" s="41">
        <f t="shared" ca="1" si="55"/>
        <v>0.17027849613236068</v>
      </c>
      <c r="H112" s="41">
        <f t="shared" ca="1" si="55"/>
        <v>0.12171152018457811</v>
      </c>
      <c r="I112" s="41">
        <f t="shared" ca="1" si="55"/>
        <v>7.910795386682587E-2</v>
      </c>
      <c r="J112" s="41">
        <f t="shared" ca="1" si="55"/>
        <v>4.1963517487908837E-2</v>
      </c>
    </row>
    <row r="114" spans="2:12">
      <c r="B114" s="6" t="s">
        <v>76</v>
      </c>
      <c r="C114" s="35"/>
      <c r="D114" s="35"/>
      <c r="E114" s="35"/>
      <c r="F114" s="7"/>
      <c r="G114" s="7"/>
      <c r="H114" s="7"/>
      <c r="I114" s="7"/>
      <c r="J114" s="7"/>
    </row>
    <row r="115" spans="2:12">
      <c r="B115" s="67"/>
      <c r="C115" s="68" t="s">
        <v>5</v>
      </c>
      <c r="D115" s="68" t="s">
        <v>6</v>
      </c>
      <c r="E115" s="68" t="s">
        <v>7</v>
      </c>
      <c r="F115" s="69" t="s">
        <v>8</v>
      </c>
      <c r="G115" s="69" t="s">
        <v>9</v>
      </c>
      <c r="H115" s="69" t="s">
        <v>10</v>
      </c>
      <c r="I115" s="69" t="s">
        <v>11</v>
      </c>
      <c r="J115" s="69" t="s">
        <v>12</v>
      </c>
      <c r="L115" s="65"/>
    </row>
    <row r="117" spans="2:12">
      <c r="B117" s="5" t="s">
        <v>46</v>
      </c>
    </row>
    <row r="118" spans="2:12">
      <c r="B118" s="12" t="s">
        <v>57</v>
      </c>
      <c r="F118" s="10">
        <f>+E120</f>
        <v>50000</v>
      </c>
      <c r="G118" s="10">
        <f t="shared" ref="G118:J118" si="56">+F120</f>
        <v>50000</v>
      </c>
      <c r="H118" s="10">
        <f t="shared" si="56"/>
        <v>50000</v>
      </c>
      <c r="I118" s="10">
        <f t="shared" si="56"/>
        <v>50000</v>
      </c>
      <c r="J118" s="10">
        <f t="shared" si="56"/>
        <v>50000</v>
      </c>
    </row>
    <row r="119" spans="2:12">
      <c r="B119" s="23" t="s">
        <v>77</v>
      </c>
      <c r="F119" s="25">
        <v>0</v>
      </c>
      <c r="G119" s="25">
        <v>0</v>
      </c>
      <c r="H119" s="25">
        <v>0</v>
      </c>
      <c r="I119" s="25">
        <v>0</v>
      </c>
      <c r="J119" s="25">
        <v>0</v>
      </c>
    </row>
    <row r="120" spans="2:12">
      <c r="B120" s="12" t="s">
        <v>59</v>
      </c>
      <c r="D120" s="37">
        <f>+D56</f>
        <v>50000</v>
      </c>
      <c r="E120" s="37">
        <f>+E56</f>
        <v>50000</v>
      </c>
      <c r="F120" s="10">
        <f>SUM(F118:F119)</f>
        <v>50000</v>
      </c>
      <c r="G120" s="10">
        <f>SUM(G118:G119)</f>
        <v>50000</v>
      </c>
      <c r="H120" s="10">
        <f>SUM(H118:H119)</f>
        <v>50000</v>
      </c>
      <c r="I120" s="10">
        <f>SUM(I118:I119)</f>
        <v>50000</v>
      </c>
      <c r="J120" s="10">
        <f>SUM(J118:J119)</f>
        <v>50000</v>
      </c>
    </row>
    <row r="121" spans="2:12" outlineLevel="1">
      <c r="B121" s="12"/>
    </row>
    <row r="122" spans="2:12" outlineLevel="1">
      <c r="B122" s="5" t="s">
        <v>78</v>
      </c>
    </row>
    <row r="123" spans="2:12" outlineLevel="1">
      <c r="B123" s="12" t="s">
        <v>57</v>
      </c>
      <c r="F123" s="10">
        <f>+E126</f>
        <v>33900</v>
      </c>
      <c r="G123" s="10">
        <f t="shared" ref="G123:J123" si="57">+F126</f>
        <v>48966.3</v>
      </c>
      <c r="H123" s="10">
        <f t="shared" ca="1" si="57"/>
        <v>64916.733000000007</v>
      </c>
      <c r="I123" s="10">
        <f t="shared" ca="1" si="57"/>
        <v>81930.409170000014</v>
      </c>
      <c r="J123" s="10">
        <f t="shared" ca="1" si="57"/>
        <v>99980.965518300014</v>
      </c>
    </row>
    <row r="124" spans="2:12" outlineLevel="1">
      <c r="B124" s="23" t="s">
        <v>79</v>
      </c>
      <c r="F124" s="9">
        <f>F18</f>
        <v>15066.300000000007</v>
      </c>
      <c r="G124" s="9">
        <f ca="1">G18</f>
        <v>15950.433000000005</v>
      </c>
      <c r="H124" s="9">
        <f ca="1">H18</f>
        <v>17013.67617000001</v>
      </c>
      <c r="I124" s="9">
        <f ca="1">I18</f>
        <v>18050.556348300001</v>
      </c>
      <c r="J124" s="9">
        <f ca="1">J18</f>
        <v>19076.366100324019</v>
      </c>
    </row>
    <row r="125" spans="2:12" outlineLevel="1">
      <c r="B125" s="23" t="s">
        <v>80</v>
      </c>
      <c r="F125" s="71">
        <v>0</v>
      </c>
      <c r="G125" s="71">
        <v>0</v>
      </c>
      <c r="H125" s="71">
        <v>0</v>
      </c>
      <c r="I125" s="71">
        <v>0</v>
      </c>
      <c r="J125" s="71">
        <v>0</v>
      </c>
    </row>
    <row r="126" spans="2:12" outlineLevel="1">
      <c r="B126" s="12" t="s">
        <v>59</v>
      </c>
      <c r="D126" s="37">
        <f>+D57</f>
        <v>18525</v>
      </c>
      <c r="E126" s="37">
        <f>+E57</f>
        <v>33900</v>
      </c>
      <c r="F126" s="10">
        <f>SUM(F123:F125)</f>
        <v>48966.3</v>
      </c>
      <c r="G126" s="10">
        <f t="shared" ref="G126:J126" ca="1" si="58">SUM(G123:G125)</f>
        <v>64916.733000000007</v>
      </c>
      <c r="H126" s="10">
        <f t="shared" ca="1" si="58"/>
        <v>81930.409170000014</v>
      </c>
      <c r="I126" s="10">
        <f t="shared" ca="1" si="58"/>
        <v>99980.965518300014</v>
      </c>
      <c r="J126" s="10">
        <f t="shared" ca="1" si="58"/>
        <v>119057.33161862404</v>
      </c>
    </row>
    <row r="127" spans="2:12" outlineLevel="1"/>
    <row r="128" spans="2:12">
      <c r="B128" s="6" t="s">
        <v>81</v>
      </c>
      <c r="C128" s="42"/>
      <c r="D128" s="42"/>
      <c r="E128" s="42"/>
      <c r="F128" s="18"/>
      <c r="G128" s="18"/>
      <c r="H128" s="18"/>
      <c r="I128" s="18"/>
      <c r="J128" s="18"/>
    </row>
    <row r="129" spans="2:12">
      <c r="B129" s="67"/>
      <c r="C129" s="68" t="s">
        <v>5</v>
      </c>
      <c r="D129" s="68" t="s">
        <v>6</v>
      </c>
      <c r="E129" s="68" t="s">
        <v>7</v>
      </c>
      <c r="F129" s="69" t="s">
        <v>8</v>
      </c>
      <c r="G129" s="69" t="s">
        <v>9</v>
      </c>
      <c r="H129" s="69" t="s">
        <v>10</v>
      </c>
      <c r="I129" s="69" t="s">
        <v>11</v>
      </c>
      <c r="J129" s="69" t="s">
        <v>12</v>
      </c>
      <c r="L129" s="65"/>
    </row>
    <row r="130" spans="2:12" ht="15.75">
      <c r="B130" s="55" t="s">
        <v>21</v>
      </c>
      <c r="C130" s="36"/>
      <c r="D130" s="36"/>
      <c r="E130" s="36"/>
      <c r="F130" s="19">
        <f>+F18</f>
        <v>15066.300000000007</v>
      </c>
      <c r="G130" s="19">
        <f ca="1">+G18</f>
        <v>15950.433000000005</v>
      </c>
      <c r="H130" s="19">
        <f ca="1">+H18</f>
        <v>17013.67617000001</v>
      </c>
      <c r="I130" s="19">
        <f ca="1">+I18</f>
        <v>18050.556348300001</v>
      </c>
      <c r="J130" s="19">
        <f ca="1">+J18</f>
        <v>19076.366100324019</v>
      </c>
    </row>
    <row r="131" spans="2:12" ht="15.75">
      <c r="B131" s="55" t="s">
        <v>82</v>
      </c>
      <c r="C131" s="36"/>
      <c r="D131" s="36"/>
      <c r="E131" s="36"/>
      <c r="F131" s="26">
        <f>-F98</f>
        <v>8000</v>
      </c>
      <c r="G131" s="26">
        <f>-G98</f>
        <v>8000</v>
      </c>
      <c r="H131" s="26">
        <f>-H98</f>
        <v>8000</v>
      </c>
      <c r="I131" s="26">
        <f>-I98</f>
        <v>8000</v>
      </c>
      <c r="J131" s="26">
        <f>-J98</f>
        <v>8000</v>
      </c>
    </row>
    <row r="132" spans="2:12" ht="15.75">
      <c r="B132" s="55" t="s">
        <v>83</v>
      </c>
      <c r="C132" s="46" t="s">
        <v>84</v>
      </c>
      <c r="D132" s="46"/>
      <c r="E132" s="46"/>
      <c r="F132" s="10">
        <f>-F74</f>
        <v>-162.80000000000018</v>
      </c>
      <c r="G132" s="10">
        <f>-G74</f>
        <v>-312.94800000000123</v>
      </c>
      <c r="H132" s="10">
        <f>-H74</f>
        <v>-392.55252000000019</v>
      </c>
      <c r="I132" s="10">
        <f>-I74</f>
        <v>-380.83563480000066</v>
      </c>
      <c r="J132" s="10">
        <f>-J74</f>
        <v>-375.91544534400055</v>
      </c>
    </row>
    <row r="133" spans="2:12" ht="15.75">
      <c r="B133" s="55" t="s">
        <v>85</v>
      </c>
      <c r="C133" s="33" t="s">
        <v>86</v>
      </c>
      <c r="D133" s="33"/>
      <c r="E133" s="46"/>
      <c r="F133" s="10">
        <f>-F82</f>
        <v>-1546.5500000000029</v>
      </c>
      <c r="G133" s="10">
        <f>-G82</f>
        <v>-1290.9105000000091</v>
      </c>
      <c r="H133" s="10">
        <f>-H82</f>
        <v>-1619.2791449999968</v>
      </c>
      <c r="I133" s="10">
        <f>-I82</f>
        <v>-1570.9469935500019</v>
      </c>
      <c r="J133" s="10">
        <f>-J82</f>
        <v>-1550.651212044002</v>
      </c>
    </row>
    <row r="134" spans="2:12" ht="15.75">
      <c r="B134" s="55" t="s">
        <v>87</v>
      </c>
      <c r="C134" s="46" t="s">
        <v>88</v>
      </c>
      <c r="D134" s="33"/>
      <c r="E134" s="33"/>
      <c r="F134" s="10">
        <f>+F89</f>
        <v>781.40999999999985</v>
      </c>
      <c r="G134" s="10">
        <f>+G89</f>
        <v>492.89310000000296</v>
      </c>
      <c r="H134" s="10">
        <f>+H89</f>
        <v>618.27021899999818</v>
      </c>
      <c r="I134" s="10">
        <f>+I89</f>
        <v>599.81612481000047</v>
      </c>
      <c r="J134" s="10">
        <f>+J89</f>
        <v>592.06682641680163</v>
      </c>
    </row>
    <row r="135" spans="2:12" ht="15.75">
      <c r="B135" s="56" t="s">
        <v>89</v>
      </c>
      <c r="C135" s="33" t="s">
        <v>90</v>
      </c>
      <c r="D135" s="33"/>
      <c r="E135" s="33"/>
      <c r="F135" s="27">
        <f>SUM(F130:F134)</f>
        <v>22138.360000000004</v>
      </c>
      <c r="G135" s="27">
        <f ca="1">SUM(G130:G134)</f>
        <v>22839.467599999996</v>
      </c>
      <c r="H135" s="27">
        <f ca="1">SUM(H130:H134)</f>
        <v>23620.11472400001</v>
      </c>
      <c r="I135" s="27">
        <f ca="1">SUM(I130:I134)</f>
        <v>24698.589844759998</v>
      </c>
      <c r="J135" s="27">
        <f ca="1">SUM(J130:J134)</f>
        <v>25741.86626935282</v>
      </c>
    </row>
    <row r="136" spans="2:12" ht="15.75">
      <c r="B136" s="55"/>
    </row>
    <row r="137" spans="2:12" ht="15.75">
      <c r="B137" s="55" t="s">
        <v>91</v>
      </c>
      <c r="F137" s="10">
        <f>-F101</f>
        <v>-10000</v>
      </c>
      <c r="G137" s="10">
        <f>-G101</f>
        <v>-10000</v>
      </c>
      <c r="H137" s="10">
        <f>-H101</f>
        <v>-10000</v>
      </c>
      <c r="I137" s="10">
        <f>-I101</f>
        <v>-10000</v>
      </c>
      <c r="J137" s="10">
        <f>-J101</f>
        <v>-10000</v>
      </c>
    </row>
    <row r="138" spans="2:12" ht="15.75">
      <c r="B138" s="56" t="s">
        <v>92</v>
      </c>
      <c r="F138" s="27">
        <f>SUM(F137:F137)</f>
        <v>-10000</v>
      </c>
      <c r="G138" s="27">
        <f>SUM(G137:G137)</f>
        <v>-10000</v>
      </c>
      <c r="H138" s="27">
        <f>SUM(H137:H137)</f>
        <v>-10000</v>
      </c>
      <c r="I138" s="27">
        <f>SUM(I137:I137)</f>
        <v>-10000</v>
      </c>
      <c r="J138" s="27">
        <f>SUM(J137:J137)</f>
        <v>-10000</v>
      </c>
    </row>
    <row r="139" spans="2:12" ht="15.75">
      <c r="B139" s="55"/>
    </row>
    <row r="140" spans="2:12" ht="15.75">
      <c r="B140" s="55" t="s">
        <v>93</v>
      </c>
      <c r="F140" s="10">
        <f>+F106</f>
        <v>-6000</v>
      </c>
      <c r="G140" s="10">
        <f>+G106</f>
        <v>-6000</v>
      </c>
      <c r="H140" s="10">
        <f>+H106</f>
        <v>-6000</v>
      </c>
      <c r="I140" s="10">
        <f>+I106</f>
        <v>-6000</v>
      </c>
      <c r="J140" s="10">
        <f>+J106</f>
        <v>-6000</v>
      </c>
    </row>
    <row r="141" spans="2:12" ht="15.75">
      <c r="B141" s="55" t="s">
        <v>94</v>
      </c>
      <c r="F141" s="10">
        <f>F119</f>
        <v>0</v>
      </c>
      <c r="G141" s="10">
        <f>G119</f>
        <v>0</v>
      </c>
      <c r="H141" s="10">
        <f>H119</f>
        <v>0</v>
      </c>
      <c r="I141" s="10">
        <f>I119</f>
        <v>0</v>
      </c>
      <c r="J141" s="10">
        <f>J119</f>
        <v>0</v>
      </c>
    </row>
    <row r="142" spans="2:12" ht="15.75">
      <c r="B142" s="55" t="s">
        <v>95</v>
      </c>
      <c r="F142" s="10">
        <f>F157</f>
        <v>0</v>
      </c>
      <c r="G142" s="10">
        <f ca="1">G157</f>
        <v>0</v>
      </c>
      <c r="H142" s="10">
        <f ca="1">H157</f>
        <v>0</v>
      </c>
      <c r="I142" s="10">
        <f ca="1">I157</f>
        <v>0</v>
      </c>
      <c r="J142" s="10">
        <f ca="1">J157</f>
        <v>0</v>
      </c>
    </row>
    <row r="143" spans="2:12">
      <c r="B143" s="5" t="s">
        <v>96</v>
      </c>
      <c r="F143" s="27">
        <f>+SUM(F140:F142)</f>
        <v>-6000</v>
      </c>
      <c r="G143" s="27">
        <f t="shared" ref="G143:J143" ca="1" si="59">+SUM(G140:G142)</f>
        <v>-6000</v>
      </c>
      <c r="H143" s="27">
        <f t="shared" ca="1" si="59"/>
        <v>-6000</v>
      </c>
      <c r="I143" s="27">
        <f t="shared" ca="1" si="59"/>
        <v>-6000</v>
      </c>
      <c r="J143" s="27">
        <f t="shared" ca="1" si="59"/>
        <v>-6000</v>
      </c>
    </row>
    <row r="145" spans="2:12">
      <c r="B145" s="5" t="s">
        <v>97</v>
      </c>
      <c r="F145" s="27">
        <f>+F135+F138+F143</f>
        <v>6138.3600000000042</v>
      </c>
      <c r="G145" s="27">
        <f ca="1">+G135+G138+G143</f>
        <v>6839.4675999999963</v>
      </c>
      <c r="H145" s="27">
        <f ca="1">+H135+H138+H143</f>
        <v>7620.11472400001</v>
      </c>
      <c r="I145" s="27">
        <f ca="1">+I135+I138+I143</f>
        <v>8698.5898447599975</v>
      </c>
      <c r="J145" s="27">
        <f ca="1">+J135+J138+J143</f>
        <v>9741.8662693528204</v>
      </c>
    </row>
    <row r="147" spans="2:12">
      <c r="B147" s="78" t="s">
        <v>98</v>
      </c>
      <c r="C147" s="35"/>
      <c r="D147" s="35"/>
      <c r="E147" s="35"/>
      <c r="F147" s="7"/>
      <c r="G147" s="7"/>
      <c r="H147" s="7"/>
      <c r="I147" s="7"/>
      <c r="J147" s="7"/>
    </row>
    <row r="148" spans="2:12">
      <c r="B148" s="67"/>
      <c r="C148" s="68" t="s">
        <v>5</v>
      </c>
      <c r="D148" s="68" t="s">
        <v>6</v>
      </c>
      <c r="E148" s="68" t="s">
        <v>7</v>
      </c>
      <c r="F148" s="69" t="s">
        <v>8</v>
      </c>
      <c r="G148" s="69" t="s">
        <v>9</v>
      </c>
      <c r="H148" s="69" t="s">
        <v>10</v>
      </c>
      <c r="I148" s="69" t="s">
        <v>11</v>
      </c>
      <c r="J148" s="69" t="s">
        <v>12</v>
      </c>
      <c r="L148" s="65"/>
    </row>
    <row r="149" spans="2:12">
      <c r="B149" s="11" t="s">
        <v>99</v>
      </c>
    </row>
    <row r="150" spans="2:12">
      <c r="B150" s="12" t="s">
        <v>100</v>
      </c>
      <c r="F150" s="10">
        <f>E45</f>
        <v>33400</v>
      </c>
      <c r="G150" s="10">
        <f>F45</f>
        <v>39538.36</v>
      </c>
      <c r="H150" s="10">
        <f ca="1">G45</f>
        <v>46377.827599999997</v>
      </c>
      <c r="I150" s="10">
        <f ca="1">H45</f>
        <v>53997.942324000003</v>
      </c>
      <c r="J150" s="10">
        <f ca="1">I45</f>
        <v>62696.532168760001</v>
      </c>
    </row>
    <row r="151" spans="2:12">
      <c r="B151" s="12" t="s">
        <v>101</v>
      </c>
      <c r="F151" s="10">
        <f>SUM(F135,F138,F140:F141)</f>
        <v>6138.3600000000042</v>
      </c>
      <c r="G151" s="10">
        <f t="shared" ref="G151:J151" ca="1" si="60">SUM(G135,G138,G140:G141)</f>
        <v>6839.4675999999963</v>
      </c>
      <c r="H151" s="10">
        <f t="shared" ca="1" si="60"/>
        <v>7620.11472400001</v>
      </c>
      <c r="I151" s="10">
        <f t="shared" ca="1" si="60"/>
        <v>8698.5898447599975</v>
      </c>
      <c r="J151" s="10">
        <f t="shared" ca="1" si="60"/>
        <v>9741.8662693528204</v>
      </c>
    </row>
    <row r="152" spans="2:12">
      <c r="B152" s="12" t="s">
        <v>102</v>
      </c>
      <c r="F152" s="3">
        <v>30000</v>
      </c>
      <c r="G152" s="3">
        <v>35000</v>
      </c>
      <c r="H152" s="3">
        <v>40000</v>
      </c>
      <c r="I152" s="3">
        <v>45000</v>
      </c>
      <c r="J152" s="3">
        <v>50000</v>
      </c>
    </row>
    <row r="153" spans="2:12">
      <c r="B153" s="28" t="s">
        <v>103</v>
      </c>
      <c r="F153" s="10">
        <f>F150+F151-F152</f>
        <v>9538.36</v>
      </c>
      <c r="G153" s="10">
        <f t="shared" ref="G153:J153" ca="1" si="61">G150+G151-G152</f>
        <v>11377.827599999997</v>
      </c>
      <c r="H153" s="10">
        <f t="shared" ca="1" si="61"/>
        <v>13997.942324000003</v>
      </c>
      <c r="I153" s="10">
        <f t="shared" ca="1" si="61"/>
        <v>17696.532168760001</v>
      </c>
      <c r="J153" s="10">
        <f t="shared" ca="1" si="61"/>
        <v>22438.398438112825</v>
      </c>
    </row>
    <row r="155" spans="2:12">
      <c r="B155" s="5" t="s">
        <v>43</v>
      </c>
    </row>
    <row r="156" spans="2:12">
      <c r="B156" s="12" t="s">
        <v>57</v>
      </c>
      <c r="F156" s="10">
        <f>E158</f>
        <v>0</v>
      </c>
      <c r="G156" s="10">
        <f t="shared" ref="G156:J156" si="62">F158</f>
        <v>0</v>
      </c>
      <c r="H156" s="10">
        <f t="shared" ca="1" si="62"/>
        <v>0</v>
      </c>
      <c r="I156" s="10">
        <f t="shared" ca="1" si="62"/>
        <v>0</v>
      </c>
      <c r="J156" s="10">
        <f t="shared" ca="1" si="62"/>
        <v>0</v>
      </c>
    </row>
    <row r="157" spans="2:12">
      <c r="B157" s="23" t="s">
        <v>58</v>
      </c>
      <c r="F157" s="10">
        <f>-MIN(F156,F153)</f>
        <v>0</v>
      </c>
      <c r="G157" s="10">
        <f ca="1">-MIN(G156,G153)</f>
        <v>0</v>
      </c>
      <c r="H157" s="10">
        <f ca="1">-MIN(H156,H153)</f>
        <v>0</v>
      </c>
      <c r="I157" s="10">
        <f ca="1">-MIN(I156,I153)</f>
        <v>0</v>
      </c>
      <c r="J157" s="10">
        <f ca="1">-MIN(J156,J153)</f>
        <v>0</v>
      </c>
    </row>
    <row r="158" spans="2:12">
      <c r="B158" s="12" t="s">
        <v>59</v>
      </c>
      <c r="D158" s="37">
        <f>D52</f>
        <v>0</v>
      </c>
      <c r="E158" s="37">
        <f>E52</f>
        <v>0</v>
      </c>
      <c r="F158" s="10">
        <f>F156+F157</f>
        <v>0</v>
      </c>
      <c r="G158" s="10">
        <f t="shared" ref="G158:J158" ca="1" si="63">G156+G157</f>
        <v>0</v>
      </c>
      <c r="H158" s="10">
        <f t="shared" ca="1" si="63"/>
        <v>0</v>
      </c>
      <c r="I158" s="10">
        <f t="shared" ca="1" si="63"/>
        <v>0</v>
      </c>
      <c r="J158" s="10">
        <f t="shared" ca="1" si="63"/>
        <v>0</v>
      </c>
    </row>
    <row r="160" spans="2:12">
      <c r="B160" s="12" t="s">
        <v>104</v>
      </c>
      <c r="F160" s="57">
        <v>0.04</v>
      </c>
      <c r="G160" s="57">
        <v>0.04</v>
      </c>
      <c r="H160" s="57">
        <v>0.04</v>
      </c>
      <c r="I160" s="57">
        <v>0.04</v>
      </c>
      <c r="J160" s="57">
        <v>0.04</v>
      </c>
    </row>
    <row r="161" spans="2:12">
      <c r="B161" s="12" t="s">
        <v>105</v>
      </c>
      <c r="F161" s="26">
        <f>IF(C3="YES",0,(F160*AVERAGE(F156,F158)))</f>
        <v>0</v>
      </c>
      <c r="G161" s="26">
        <f t="shared" ref="G161:J161" ca="1" si="64">IF(D3="YES",0,(G160*AVERAGE(G156,G158)))</f>
        <v>0</v>
      </c>
      <c r="H161" s="26">
        <f t="shared" ca="1" si="64"/>
        <v>0</v>
      </c>
      <c r="I161" s="26">
        <f t="shared" ca="1" si="64"/>
        <v>0</v>
      </c>
      <c r="J161" s="26">
        <f t="shared" ca="1" si="64"/>
        <v>0</v>
      </c>
    </row>
    <row r="163" spans="2:12">
      <c r="B163" s="20" t="s">
        <v>106</v>
      </c>
    </row>
    <row r="164" spans="2:12">
      <c r="B164" s="12" t="s">
        <v>57</v>
      </c>
      <c r="F164" s="10">
        <f>E166</f>
        <v>33400</v>
      </c>
      <c r="G164" s="10">
        <f t="shared" ref="G164:J164" si="65">F166</f>
        <v>39538.36</v>
      </c>
      <c r="H164" s="10">
        <f t="shared" ca="1" si="65"/>
        <v>46377.827599999997</v>
      </c>
      <c r="I164" s="10">
        <f t="shared" ca="1" si="65"/>
        <v>53997.942324000003</v>
      </c>
      <c r="J164" s="10">
        <f t="shared" ca="1" si="65"/>
        <v>62696.532168760001</v>
      </c>
    </row>
    <row r="165" spans="2:12">
      <c r="B165" s="29" t="s">
        <v>107</v>
      </c>
      <c r="F165" s="10">
        <f>F166-F164</f>
        <v>6138.3600000000006</v>
      </c>
      <c r="G165" s="10">
        <f t="shared" ref="G165:J165" ca="1" si="66">G166-G164</f>
        <v>6839.4675999999963</v>
      </c>
      <c r="H165" s="10">
        <f t="shared" ca="1" si="66"/>
        <v>7620.1147240000064</v>
      </c>
      <c r="I165" s="10">
        <f t="shared" ca="1" si="66"/>
        <v>8698.5898447599975</v>
      </c>
      <c r="J165" s="10">
        <f t="shared" ca="1" si="66"/>
        <v>9741.866269352824</v>
      </c>
    </row>
    <row r="166" spans="2:12">
      <c r="B166" s="12" t="s">
        <v>59</v>
      </c>
      <c r="D166" s="37">
        <f t="shared" ref="D166:J166" si="67">D45</f>
        <v>18275</v>
      </c>
      <c r="E166" s="37">
        <f t="shared" si="67"/>
        <v>33400</v>
      </c>
      <c r="F166" s="10">
        <f t="shared" si="67"/>
        <v>39538.36</v>
      </c>
      <c r="G166" s="10">
        <f t="shared" ca="1" si="67"/>
        <v>46377.827599999997</v>
      </c>
      <c r="H166" s="10">
        <f t="shared" ca="1" si="67"/>
        <v>53997.942324000003</v>
      </c>
      <c r="I166" s="10">
        <f t="shared" ca="1" si="67"/>
        <v>62696.532168760001</v>
      </c>
      <c r="J166" s="10">
        <f t="shared" ca="1" si="67"/>
        <v>72438.398438112825</v>
      </c>
    </row>
    <row r="167" spans="2:12">
      <c r="B167" s="12"/>
    </row>
    <row r="168" spans="2:12">
      <c r="B168" s="12" t="s">
        <v>108</v>
      </c>
      <c r="D168" s="39"/>
      <c r="E168" s="39"/>
      <c r="F168" s="30">
        <v>0.02</v>
      </c>
      <c r="G168" s="30">
        <v>0.02</v>
      </c>
      <c r="H168" s="30">
        <v>0.02</v>
      </c>
      <c r="I168" s="30">
        <v>0.02</v>
      </c>
      <c r="J168" s="30">
        <v>0.02</v>
      </c>
    </row>
    <row r="169" spans="2:12">
      <c r="B169" s="12" t="s">
        <v>17</v>
      </c>
      <c r="C169" s="37"/>
      <c r="D169" s="37"/>
      <c r="E169" s="37"/>
      <c r="F169" s="10">
        <f>IF($C$3="YES",0,(F168*AVERAGE(F166,F164)))</f>
        <v>0</v>
      </c>
      <c r="G169" s="10">
        <f t="shared" ref="G169:J169" si="68">IF($C$3="YES",0,(G168*AVERAGE(G166,G164)))</f>
        <v>0</v>
      </c>
      <c r="H169" s="10">
        <f t="shared" si="68"/>
        <v>0</v>
      </c>
      <c r="I169" s="10">
        <f t="shared" si="68"/>
        <v>0</v>
      </c>
      <c r="J169" s="10">
        <f t="shared" si="68"/>
        <v>0</v>
      </c>
    </row>
    <row r="170" spans="2:12">
      <c r="C170" s="58"/>
      <c r="D170" s="4"/>
      <c r="E170" s="4"/>
    </row>
    <row r="171" spans="2:12" s="74" customFormat="1"/>
    <row r="172" spans="2:12">
      <c r="B172" s="6" t="s">
        <v>109</v>
      </c>
      <c r="C172" s="59"/>
      <c r="D172" s="59"/>
      <c r="E172" s="59"/>
      <c r="F172" s="6"/>
      <c r="G172" s="6"/>
      <c r="H172" s="6"/>
      <c r="I172" s="6"/>
      <c r="J172" s="6"/>
    </row>
    <row r="173" spans="2:12">
      <c r="B173" s="67"/>
      <c r="C173" s="75"/>
      <c r="D173" s="75"/>
      <c r="E173" s="75"/>
      <c r="F173" s="69" t="s">
        <v>110</v>
      </c>
      <c r="G173" s="69" t="s">
        <v>9</v>
      </c>
      <c r="H173" s="69" t="s">
        <v>10</v>
      </c>
      <c r="I173" s="69" t="s">
        <v>11</v>
      </c>
      <c r="J173" s="69" t="s">
        <v>12</v>
      </c>
      <c r="L173" s="65"/>
    </row>
    <row r="174" spans="2:12" ht="15.75" thickBot="1">
      <c r="C174" s="58"/>
      <c r="D174" s="58"/>
      <c r="E174" s="58"/>
    </row>
    <row r="175" spans="2:12" ht="15.75" thickBot="1">
      <c r="B175" s="60" t="s">
        <v>111</v>
      </c>
      <c r="C175" s="61"/>
      <c r="D175" s="61"/>
      <c r="E175" s="62" t="s">
        <v>130</v>
      </c>
    </row>
    <row r="176" spans="2:12">
      <c r="B176" s="12"/>
      <c r="C176" s="58"/>
      <c r="D176" s="58"/>
      <c r="E176" s="58"/>
    </row>
    <row r="177" spans="2:10">
      <c r="B177" s="12" t="s">
        <v>125</v>
      </c>
      <c r="C177" s="13"/>
      <c r="D177" s="13"/>
      <c r="E177" s="13"/>
      <c r="F177" s="13">
        <f>+IF($E$175="Bull Case",F183,IF($E$175="Base Case",F184,F185))</f>
        <v>0.03</v>
      </c>
      <c r="G177" s="13">
        <f t="shared" ref="G177:J177" si="69">+IF($E$175="Bull Case",G183,IF($E$175="Base Case",G184,G185))</f>
        <v>0.03</v>
      </c>
      <c r="H177" s="13">
        <f t="shared" si="69"/>
        <v>0.04</v>
      </c>
      <c r="I177" s="13">
        <f t="shared" si="69"/>
        <v>0.04</v>
      </c>
      <c r="J177" s="13">
        <f t="shared" si="69"/>
        <v>0.03</v>
      </c>
    </row>
    <row r="178" spans="2:10">
      <c r="B178" s="12" t="s">
        <v>126</v>
      </c>
      <c r="C178" s="13"/>
      <c r="D178" s="13"/>
      <c r="E178" s="13"/>
      <c r="F178" s="13">
        <f>+IF($E$175="Bull Case",F187,IF($E$175="Base Case",F188,F189))</f>
        <v>0.04</v>
      </c>
      <c r="G178" s="13">
        <f t="shared" ref="G178:J178" si="70">+IF($E$175="Bull Case",G187,IF($E$175="Base Case",G188,G189))</f>
        <v>0.05</v>
      </c>
      <c r="H178" s="13">
        <f t="shared" si="70"/>
        <v>0.06</v>
      </c>
      <c r="I178" s="13">
        <f t="shared" si="70"/>
        <v>0.05</v>
      </c>
      <c r="J178" s="13">
        <f t="shared" si="70"/>
        <v>0.05</v>
      </c>
    </row>
    <row r="179" spans="2:10">
      <c r="B179" s="12" t="s">
        <v>127</v>
      </c>
      <c r="C179" s="13"/>
      <c r="D179" s="13"/>
      <c r="E179" s="13"/>
      <c r="F179" s="13">
        <f>+IF($E$175="Bull Case",F191,IF($E$175="Base Case",F192,F193))</f>
        <v>0.06</v>
      </c>
      <c r="G179" s="13">
        <f t="shared" ref="G179:J179" si="71">+IF($E$175="Bull Case",G191,IF($E$175="Base Case",G192,G193))</f>
        <v>7.0000000000000007E-2</v>
      </c>
      <c r="H179" s="13">
        <f t="shared" si="71"/>
        <v>7.0000000000000007E-2</v>
      </c>
      <c r="I179" s="13">
        <f t="shared" si="71"/>
        <v>7.0000000000000007E-2</v>
      </c>
      <c r="J179" s="13">
        <f t="shared" si="71"/>
        <v>0.08</v>
      </c>
    </row>
    <row r="180" spans="2:10">
      <c r="B180" s="12" t="s">
        <v>129</v>
      </c>
      <c r="C180" s="13"/>
      <c r="D180" s="13"/>
      <c r="E180" s="13"/>
      <c r="F180" s="13">
        <f>+IF($E$175="Bull Case",F195,IF($E$175="Base Case",F196,F197))</f>
        <v>0.55000000000000004</v>
      </c>
      <c r="G180" s="13">
        <f t="shared" ref="G180:J180" si="72">+IF($E$175="Bull Case",G195,IF($E$175="Base Case",G196,G197))</f>
        <v>0.55000000000000004</v>
      </c>
      <c r="H180" s="13">
        <f t="shared" si="72"/>
        <v>0.55000000000000004</v>
      </c>
      <c r="I180" s="13">
        <f t="shared" si="72"/>
        <v>0.55000000000000004</v>
      </c>
      <c r="J180" s="13">
        <f t="shared" si="72"/>
        <v>0.55000000000000004</v>
      </c>
    </row>
    <row r="181" spans="2:10">
      <c r="C181" s="4"/>
      <c r="D181" s="4"/>
      <c r="E181" s="4"/>
    </row>
    <row r="182" spans="2:10">
      <c r="B182" s="28" t="s">
        <v>125</v>
      </c>
      <c r="C182" s="4"/>
      <c r="D182" s="4"/>
      <c r="E182" s="4"/>
      <c r="F182" s="58"/>
      <c r="G182" s="58"/>
      <c r="H182" s="58"/>
      <c r="I182" s="58"/>
      <c r="J182" s="58"/>
    </row>
    <row r="183" spans="2:10">
      <c r="B183" s="17" t="s">
        <v>112</v>
      </c>
      <c r="C183" s="22"/>
      <c r="D183" s="22"/>
      <c r="E183" s="22"/>
      <c r="F183" s="63">
        <v>0.05</v>
      </c>
      <c r="G183" s="63">
        <v>0.06</v>
      </c>
      <c r="H183" s="63">
        <v>0.05</v>
      </c>
      <c r="I183" s="63">
        <v>0.06</v>
      </c>
      <c r="J183" s="63">
        <v>0.06</v>
      </c>
    </row>
    <row r="184" spans="2:10">
      <c r="B184" s="17" t="s">
        <v>113</v>
      </c>
      <c r="C184" s="22"/>
      <c r="D184" s="22"/>
      <c r="E184" s="22"/>
      <c r="F184" s="16">
        <v>0.03</v>
      </c>
      <c r="G184" s="16">
        <v>0.03</v>
      </c>
      <c r="H184" s="16">
        <v>0.04</v>
      </c>
      <c r="I184" s="16">
        <v>0.04</v>
      </c>
      <c r="J184" s="16">
        <v>0.03</v>
      </c>
    </row>
    <row r="185" spans="2:10">
      <c r="B185" s="17" t="s">
        <v>114</v>
      </c>
      <c r="C185" s="22"/>
      <c r="D185" s="22"/>
      <c r="E185" s="22"/>
      <c r="F185" s="63">
        <v>0</v>
      </c>
      <c r="G185" s="63">
        <v>0.01</v>
      </c>
      <c r="H185" s="63">
        <v>0</v>
      </c>
      <c r="I185" s="63">
        <v>0.01</v>
      </c>
      <c r="J185" s="63">
        <v>0</v>
      </c>
    </row>
    <row r="186" spans="2:10">
      <c r="B186" s="28" t="s">
        <v>126</v>
      </c>
      <c r="C186" s="22"/>
      <c r="D186" s="22"/>
      <c r="E186" s="22"/>
      <c r="F186" s="63"/>
      <c r="G186" s="63"/>
      <c r="H186" s="63"/>
      <c r="I186" s="63"/>
      <c r="J186" s="63"/>
    </row>
    <row r="187" spans="2:10">
      <c r="B187" s="17" t="s">
        <v>112</v>
      </c>
      <c r="C187" s="22"/>
      <c r="D187" s="22"/>
      <c r="E187" s="22"/>
      <c r="F187" s="63">
        <v>0.06</v>
      </c>
      <c r="G187" s="63">
        <v>7.0000000000000007E-2</v>
      </c>
      <c r="H187" s="63">
        <v>0.08</v>
      </c>
      <c r="I187" s="63">
        <v>0.06</v>
      </c>
      <c r="J187" s="63">
        <v>7.0000000000000007E-2</v>
      </c>
    </row>
    <row r="188" spans="2:10">
      <c r="B188" s="17" t="s">
        <v>113</v>
      </c>
      <c r="C188" s="22"/>
      <c r="D188" s="22"/>
      <c r="E188" s="22"/>
      <c r="F188" s="16">
        <v>0.04</v>
      </c>
      <c r="G188" s="16">
        <v>0.05</v>
      </c>
      <c r="H188" s="16">
        <v>0.06</v>
      </c>
      <c r="I188" s="16">
        <v>0.05</v>
      </c>
      <c r="J188" s="16">
        <v>0.05</v>
      </c>
    </row>
    <row r="189" spans="2:10">
      <c r="B189" s="17" t="s">
        <v>114</v>
      </c>
      <c r="C189" s="22"/>
      <c r="D189" s="22"/>
      <c r="E189" s="22"/>
      <c r="F189" s="63">
        <v>0</v>
      </c>
      <c r="G189" s="63">
        <v>0</v>
      </c>
      <c r="H189" s="63">
        <v>0.02</v>
      </c>
      <c r="I189" s="63">
        <v>0</v>
      </c>
      <c r="J189" s="63">
        <v>0.01</v>
      </c>
    </row>
    <row r="190" spans="2:10">
      <c r="B190" s="28" t="s">
        <v>128</v>
      </c>
      <c r="C190" s="31"/>
      <c r="D190" s="31"/>
      <c r="E190" s="31"/>
      <c r="F190" s="64"/>
      <c r="G190" s="64"/>
      <c r="H190" s="64"/>
      <c r="I190" s="64"/>
      <c r="J190" s="64"/>
    </row>
    <row r="191" spans="2:10">
      <c r="B191" s="17" t="s">
        <v>112</v>
      </c>
      <c r="C191" s="22"/>
      <c r="D191" s="22"/>
      <c r="E191" s="22"/>
      <c r="F191" s="63">
        <v>0.08</v>
      </c>
      <c r="G191" s="63">
        <v>0.1</v>
      </c>
      <c r="H191" s="63">
        <v>0.09</v>
      </c>
      <c r="I191" s="63">
        <v>0.11</v>
      </c>
      <c r="J191" s="63">
        <v>0.1</v>
      </c>
    </row>
    <row r="192" spans="2:10">
      <c r="B192" s="17" t="s">
        <v>113</v>
      </c>
      <c r="C192" s="22"/>
      <c r="D192" s="22"/>
      <c r="E192" s="22"/>
      <c r="F192" s="16">
        <v>0.06</v>
      </c>
      <c r="G192" s="16">
        <v>7.0000000000000007E-2</v>
      </c>
      <c r="H192" s="16">
        <v>7.0000000000000007E-2</v>
      </c>
      <c r="I192" s="16">
        <v>7.0000000000000007E-2</v>
      </c>
      <c r="J192" s="16">
        <v>0.08</v>
      </c>
    </row>
    <row r="193" spans="2:10">
      <c r="B193" s="17" t="s">
        <v>114</v>
      </c>
      <c r="C193" s="22"/>
      <c r="D193" s="22"/>
      <c r="E193" s="22"/>
      <c r="F193" s="63">
        <v>0.01</v>
      </c>
      <c r="G193" s="63">
        <v>0.02</v>
      </c>
      <c r="H193" s="63">
        <v>0.02</v>
      </c>
      <c r="I193" s="63">
        <v>0.01</v>
      </c>
      <c r="J193" s="63">
        <v>0.01</v>
      </c>
    </row>
    <row r="194" spans="2:10">
      <c r="B194" s="28" t="s">
        <v>129</v>
      </c>
      <c r="C194" s="31"/>
      <c r="D194" s="31"/>
      <c r="E194" s="31"/>
      <c r="F194" s="64"/>
      <c r="G194" s="64"/>
      <c r="H194" s="64"/>
      <c r="I194" s="64"/>
      <c r="J194" s="64"/>
    </row>
    <row r="195" spans="2:10">
      <c r="B195" s="17" t="s">
        <v>112</v>
      </c>
      <c r="C195" s="22"/>
      <c r="D195" s="22"/>
      <c r="E195" s="22"/>
      <c r="F195" s="63">
        <v>0.6</v>
      </c>
      <c r="G195" s="63">
        <v>0.6</v>
      </c>
      <c r="H195" s="63">
        <v>0.6</v>
      </c>
      <c r="I195" s="63">
        <v>0.6</v>
      </c>
      <c r="J195" s="63">
        <v>0.6</v>
      </c>
    </row>
    <row r="196" spans="2:10">
      <c r="B196" s="17" t="s">
        <v>113</v>
      </c>
      <c r="C196" s="22"/>
      <c r="D196" s="22"/>
      <c r="E196" s="22"/>
      <c r="F196" s="15">
        <v>0.55000000000000004</v>
      </c>
      <c r="G196" s="15">
        <v>0.55000000000000004</v>
      </c>
      <c r="H196" s="15">
        <v>0.55000000000000004</v>
      </c>
      <c r="I196" s="15">
        <v>0.55000000000000004</v>
      </c>
      <c r="J196" s="15">
        <v>0.55000000000000004</v>
      </c>
    </row>
    <row r="197" spans="2:10">
      <c r="B197" s="17" t="s">
        <v>114</v>
      </c>
      <c r="C197" s="22"/>
      <c r="D197" s="22"/>
      <c r="E197" s="22"/>
      <c r="F197" s="63">
        <v>0.5</v>
      </c>
      <c r="G197" s="63">
        <v>0.5</v>
      </c>
      <c r="H197" s="63">
        <v>0.5</v>
      </c>
      <c r="I197" s="63">
        <v>0.5</v>
      </c>
      <c r="J197" s="63">
        <v>0.5</v>
      </c>
    </row>
    <row r="198" spans="2:10">
      <c r="C198" s="4"/>
      <c r="D198" s="4"/>
      <c r="E198" s="4"/>
    </row>
    <row r="199" spans="2:10">
      <c r="C199" s="4"/>
      <c r="D199" s="4"/>
      <c r="E199" s="4" t="s">
        <v>115</v>
      </c>
    </row>
    <row r="200" spans="2:10">
      <c r="C200" s="79">
        <f>F21</f>
        <v>3.0132600000000012</v>
      </c>
      <c r="D200" s="80">
        <v>0.01</v>
      </c>
      <c r="E200" s="81">
        <v>0.02</v>
      </c>
      <c r="F200" s="81">
        <v>3.7999999999999999E-2</v>
      </c>
      <c r="G200" s="81">
        <v>0.05</v>
      </c>
      <c r="H200" s="81">
        <v>0.06</v>
      </c>
    </row>
    <row r="201" spans="2:10">
      <c r="C201" s="80">
        <v>0.45</v>
      </c>
      <c r="D201" s="79">
        <f t="dataTable" ref="D201:H205" dt2D="1" dtr="1" r1="F24" r2="F25"/>
        <v>1.1838</v>
      </c>
      <c r="E201" s="79">
        <v>1.1976</v>
      </c>
      <c r="F201" s="79">
        <v>1.2224400000000009</v>
      </c>
      <c r="G201" s="79">
        <v>1.2390000000000001</v>
      </c>
      <c r="H201" s="79">
        <v>1.2527999999999999</v>
      </c>
    </row>
    <row r="202" spans="2:10">
      <c r="B202" s="73" t="s">
        <v>116</v>
      </c>
      <c r="C202" s="80">
        <v>0.5</v>
      </c>
      <c r="D202" s="79">
        <v>2.0549249999999999</v>
      </c>
      <c r="E202" s="79">
        <v>2.07735</v>
      </c>
      <c r="F202" s="79">
        <v>2.1177150000000009</v>
      </c>
      <c r="G202" s="79">
        <v>2.144625</v>
      </c>
      <c r="H202" s="79">
        <v>2.1670500000000001</v>
      </c>
    </row>
    <row r="203" spans="2:10">
      <c r="B203" s="73" t="s">
        <v>117</v>
      </c>
      <c r="C203" s="80">
        <v>0.55000000000000004</v>
      </c>
      <c r="D203" s="79">
        <v>2.9260500000000009</v>
      </c>
      <c r="E203" s="79">
        <v>2.9571000000000009</v>
      </c>
      <c r="F203" s="79">
        <v>3.0129900000000007</v>
      </c>
      <c r="G203" s="79">
        <v>3.0502500000000001</v>
      </c>
      <c r="H203" s="79">
        <v>3.0813000000000001</v>
      </c>
    </row>
    <row r="204" spans="2:10">
      <c r="B204" s="73"/>
      <c r="C204" s="80">
        <v>0.6</v>
      </c>
      <c r="D204" s="79">
        <v>3.7971750000000002</v>
      </c>
      <c r="E204" s="79">
        <v>3.8368500000000001</v>
      </c>
      <c r="F204" s="79">
        <v>3.908265000000001</v>
      </c>
      <c r="G204" s="79">
        <v>3.9558749999999998</v>
      </c>
      <c r="H204" s="79">
        <v>3.9955500000000002</v>
      </c>
    </row>
    <row r="205" spans="2:10">
      <c r="C205" s="80">
        <v>0.65</v>
      </c>
      <c r="D205" s="79">
        <v>4.6683000000000003</v>
      </c>
      <c r="E205" s="79">
        <v>4.7165999999999997</v>
      </c>
      <c r="F205" s="79">
        <v>4.8035400000000008</v>
      </c>
      <c r="G205" s="79">
        <v>4.8615000000000004</v>
      </c>
      <c r="H205" s="79">
        <v>4.9097999999999997</v>
      </c>
    </row>
    <row r="206" spans="2:10">
      <c r="C206" s="66"/>
      <c r="D206" s="4"/>
      <c r="E206" s="4"/>
    </row>
    <row r="207" spans="2:10">
      <c r="C207" s="4"/>
      <c r="D207" s="4"/>
      <c r="E207" s="4"/>
    </row>
    <row r="208" spans="2:10">
      <c r="C208" s="4"/>
      <c r="D208" s="4"/>
      <c r="E208" s="4"/>
    </row>
    <row r="209" spans="3:5">
      <c r="C209" s="4"/>
      <c r="D209" s="4"/>
      <c r="E209" s="4"/>
    </row>
    <row r="210" spans="3:5">
      <c r="C210" s="4"/>
      <c r="D210" s="4"/>
      <c r="E210" s="4"/>
    </row>
    <row r="211" spans="3:5">
      <c r="C211" s="4"/>
      <c r="D211" s="4"/>
      <c r="E211" s="4"/>
    </row>
    <row r="212" spans="3:5">
      <c r="C212" s="4"/>
      <c r="D212" s="4"/>
      <c r="E212" s="4"/>
    </row>
    <row r="213" spans="3:5">
      <c r="C213" s="4"/>
      <c r="D213" s="4"/>
      <c r="E213" s="4"/>
    </row>
    <row r="214" spans="3:5">
      <c r="C214" s="4"/>
      <c r="D214" s="4"/>
      <c r="E214" s="4"/>
    </row>
    <row r="215" spans="3:5">
      <c r="C215" s="4"/>
      <c r="D215" s="4"/>
      <c r="E215" s="4"/>
    </row>
    <row r="216" spans="3:5">
      <c r="C216" s="4"/>
      <c r="D216" s="4"/>
      <c r="E216" s="4"/>
    </row>
    <row r="217" spans="3:5">
      <c r="C217" s="4"/>
      <c r="D217" s="4"/>
      <c r="E217" s="4"/>
    </row>
    <row r="218" spans="3:5">
      <c r="C218" s="4"/>
      <c r="D218" s="4"/>
      <c r="E218" s="4"/>
    </row>
    <row r="219" spans="3:5">
      <c r="C219" s="4"/>
      <c r="D219" s="4"/>
      <c r="E219" s="4"/>
    </row>
    <row r="220" spans="3:5">
      <c r="C220" s="4"/>
      <c r="D220" s="4"/>
      <c r="E220" s="4"/>
    </row>
    <row r="221" spans="3:5">
      <c r="C221" s="4"/>
      <c r="D221" s="4"/>
      <c r="E221" s="4"/>
    </row>
    <row r="222" spans="3:5">
      <c r="C222" s="4"/>
      <c r="D222" s="4"/>
      <c r="E222" s="4"/>
    </row>
    <row r="223" spans="3:5">
      <c r="C223" s="4"/>
      <c r="D223" s="4"/>
      <c r="E223" s="4"/>
    </row>
    <row r="224" spans="3:5">
      <c r="C224" s="4"/>
      <c r="D224" s="4"/>
      <c r="E224" s="4"/>
    </row>
    <row r="225" spans="3:5">
      <c r="C225" s="4"/>
      <c r="D225" s="4"/>
      <c r="E225" s="4"/>
    </row>
    <row r="226" spans="3:5">
      <c r="C226" s="4"/>
      <c r="D226" s="4"/>
      <c r="E226" s="4"/>
    </row>
    <row r="227" spans="3:5">
      <c r="C227" s="4"/>
      <c r="D227" s="4"/>
      <c r="E227" s="4"/>
    </row>
    <row r="228" spans="3:5">
      <c r="C228" s="4"/>
      <c r="D228" s="4"/>
      <c r="E228" s="4"/>
    </row>
    <row r="229" spans="3:5">
      <c r="C229" s="4"/>
      <c r="D229" s="4"/>
      <c r="E229" s="4"/>
    </row>
    <row r="230" spans="3:5">
      <c r="C230" s="4"/>
      <c r="D230" s="4"/>
      <c r="E230" s="4"/>
    </row>
    <row r="231" spans="3:5">
      <c r="C231" s="4"/>
      <c r="D231" s="4"/>
      <c r="E231" s="4"/>
    </row>
    <row r="232" spans="3:5">
      <c r="C232" s="4"/>
      <c r="D232" s="4"/>
      <c r="E232" s="4"/>
    </row>
    <row r="233" spans="3:5">
      <c r="C233" s="4"/>
      <c r="D233" s="4"/>
      <c r="E233" s="4"/>
    </row>
    <row r="234" spans="3:5">
      <c r="C234" s="4"/>
      <c r="D234" s="4"/>
      <c r="E234" s="4"/>
    </row>
    <row r="235" spans="3:5">
      <c r="C235" s="4"/>
      <c r="D235" s="4"/>
      <c r="E235" s="4"/>
    </row>
    <row r="236" spans="3:5">
      <c r="C236" s="4"/>
      <c r="D236" s="4"/>
      <c r="E236" s="4"/>
    </row>
    <row r="237" spans="3:5">
      <c r="C237" s="4"/>
      <c r="D237" s="4"/>
      <c r="E237" s="4"/>
    </row>
    <row r="238" spans="3:5">
      <c r="C238" s="4"/>
      <c r="D238" s="4"/>
      <c r="E238" s="4"/>
    </row>
    <row r="239" spans="3:5">
      <c r="C239" s="4"/>
      <c r="D239" s="4"/>
      <c r="E239" s="4"/>
    </row>
    <row r="240" spans="3:5">
      <c r="C240" s="4"/>
      <c r="D240" s="4"/>
      <c r="E240" s="4"/>
    </row>
    <row r="241" spans="3:5">
      <c r="C241" s="4"/>
      <c r="D241" s="4"/>
      <c r="E241" s="4"/>
    </row>
    <row r="242" spans="3:5">
      <c r="C242" s="4"/>
      <c r="D242" s="4"/>
      <c r="E242" s="4"/>
    </row>
    <row r="243" spans="3:5">
      <c r="C243" s="4"/>
      <c r="D243" s="4"/>
      <c r="E243" s="4"/>
    </row>
    <row r="244" spans="3:5">
      <c r="C244" s="4"/>
      <c r="D244" s="4"/>
      <c r="E244" s="4"/>
    </row>
    <row r="245" spans="3:5">
      <c r="C245" s="4"/>
      <c r="D245" s="4"/>
      <c r="E245" s="4"/>
    </row>
    <row r="246" spans="3:5">
      <c r="C246" s="4"/>
      <c r="D246" s="4"/>
      <c r="E246" s="4"/>
    </row>
    <row r="247" spans="3:5">
      <c r="C247" s="4"/>
      <c r="D247" s="4"/>
      <c r="E247" s="4"/>
    </row>
    <row r="248" spans="3:5">
      <c r="C248" s="4"/>
      <c r="D248" s="4"/>
      <c r="E248" s="4"/>
    </row>
    <row r="249" spans="3:5">
      <c r="C249" s="4"/>
      <c r="D249" s="4"/>
      <c r="E249" s="4"/>
    </row>
    <row r="250" spans="3:5">
      <c r="C250" s="4"/>
      <c r="D250" s="4"/>
      <c r="E250" s="4"/>
    </row>
    <row r="251" spans="3:5">
      <c r="C251" s="4"/>
      <c r="D251" s="4"/>
      <c r="E251" s="4"/>
    </row>
    <row r="252" spans="3:5">
      <c r="C252" s="4"/>
      <c r="D252" s="4"/>
      <c r="E252" s="4"/>
    </row>
    <row r="253" spans="3:5">
      <c r="C253" s="4"/>
      <c r="D253" s="4"/>
      <c r="E253" s="4"/>
    </row>
    <row r="254" spans="3:5">
      <c r="C254" s="4"/>
      <c r="D254" s="4"/>
      <c r="E254" s="4"/>
    </row>
    <row r="255" spans="3:5">
      <c r="C255" s="4"/>
      <c r="D255" s="4"/>
      <c r="E255" s="4"/>
    </row>
    <row r="256" spans="3:5">
      <c r="C256" s="4"/>
      <c r="D256" s="4"/>
      <c r="E256" s="4"/>
    </row>
    <row r="257" spans="3:5">
      <c r="C257" s="4"/>
      <c r="D257" s="4"/>
      <c r="E257" s="4"/>
    </row>
    <row r="258" spans="3:5">
      <c r="C258" s="4"/>
      <c r="D258" s="4"/>
      <c r="E258" s="4"/>
    </row>
    <row r="259" spans="3:5">
      <c r="C259" s="4"/>
      <c r="D259" s="4"/>
      <c r="E259" s="4"/>
    </row>
    <row r="260" spans="3:5">
      <c r="C260" s="4"/>
      <c r="D260" s="4"/>
      <c r="E260" s="4"/>
    </row>
    <row r="261" spans="3:5">
      <c r="C261" s="4"/>
      <c r="D261" s="4"/>
      <c r="E261" s="4"/>
    </row>
    <row r="262" spans="3:5">
      <c r="C262" s="4"/>
      <c r="D262" s="4"/>
      <c r="E262" s="4"/>
    </row>
    <row r="263" spans="3:5">
      <c r="C263" s="4"/>
      <c r="D263" s="4"/>
      <c r="E263" s="4"/>
    </row>
    <row r="264" spans="3:5">
      <c r="C264" s="4"/>
      <c r="D264" s="4"/>
      <c r="E264" s="4"/>
    </row>
    <row r="265" spans="3:5">
      <c r="C265" s="4"/>
      <c r="D265" s="4"/>
      <c r="E265" s="4"/>
    </row>
    <row r="266" spans="3:5">
      <c r="C266" s="4"/>
      <c r="D266" s="4"/>
      <c r="E266" s="4"/>
    </row>
    <row r="267" spans="3:5">
      <c r="C267" s="4"/>
      <c r="D267" s="4"/>
      <c r="E267" s="4"/>
    </row>
    <row r="268" spans="3:5">
      <c r="C268" s="4"/>
      <c r="D268" s="4"/>
      <c r="E268" s="4"/>
    </row>
    <row r="269" spans="3:5">
      <c r="C269" s="4"/>
      <c r="D269" s="4"/>
      <c r="E269" s="4"/>
    </row>
    <row r="270" spans="3:5">
      <c r="C270" s="4"/>
      <c r="D270" s="4"/>
      <c r="E270" s="4"/>
    </row>
    <row r="271" spans="3:5">
      <c r="C271" s="4"/>
      <c r="D271" s="4"/>
      <c r="E271" s="4"/>
    </row>
    <row r="272" spans="3:5">
      <c r="C272" s="4"/>
      <c r="D272" s="4"/>
      <c r="E272" s="4"/>
    </row>
    <row r="273" spans="3:5">
      <c r="C273" s="4"/>
      <c r="D273" s="4"/>
      <c r="E273" s="4"/>
    </row>
    <row r="274" spans="3:5">
      <c r="C274" s="4"/>
      <c r="D274" s="4"/>
      <c r="E274" s="4"/>
    </row>
    <row r="275" spans="3:5">
      <c r="C275" s="4"/>
      <c r="D275" s="4"/>
      <c r="E275" s="4"/>
    </row>
    <row r="276" spans="3:5">
      <c r="C276" s="4"/>
      <c r="D276" s="4"/>
      <c r="E276" s="4"/>
    </row>
    <row r="277" spans="3:5">
      <c r="C277" s="4"/>
      <c r="D277" s="4"/>
      <c r="E277" s="4"/>
    </row>
    <row r="278" spans="3:5">
      <c r="C278" s="4"/>
      <c r="D278" s="4"/>
      <c r="E278" s="4"/>
    </row>
    <row r="279" spans="3:5">
      <c r="C279" s="4"/>
      <c r="D279" s="4"/>
      <c r="E279" s="4"/>
    </row>
    <row r="280" spans="3:5">
      <c r="C280" s="4"/>
      <c r="D280" s="4"/>
      <c r="E280" s="4"/>
    </row>
    <row r="281" spans="3:5">
      <c r="C281" s="4"/>
      <c r="D281" s="4"/>
      <c r="E281" s="4"/>
    </row>
    <row r="282" spans="3:5">
      <c r="C282" s="4"/>
      <c r="D282" s="4"/>
      <c r="E282" s="4"/>
    </row>
    <row r="283" spans="3:5">
      <c r="C283" s="4"/>
      <c r="D283" s="4"/>
      <c r="E283" s="4"/>
    </row>
    <row r="284" spans="3:5">
      <c r="C284" s="4"/>
      <c r="D284" s="4"/>
      <c r="E284" s="4"/>
    </row>
    <row r="285" spans="3:5">
      <c r="C285" s="4"/>
      <c r="D285" s="4"/>
      <c r="E285" s="4"/>
    </row>
    <row r="286" spans="3:5">
      <c r="C286" s="4"/>
      <c r="D286" s="4"/>
      <c r="E286" s="4"/>
    </row>
    <row r="287" spans="3:5">
      <c r="C287" s="4"/>
      <c r="D287" s="4"/>
      <c r="E287" s="4"/>
    </row>
    <row r="288" spans="3:5">
      <c r="C288" s="4"/>
      <c r="D288" s="4"/>
      <c r="E288" s="4"/>
    </row>
    <row r="289" spans="3:5">
      <c r="C289" s="4"/>
      <c r="D289" s="4"/>
      <c r="E289" s="4"/>
    </row>
    <row r="290" spans="3:5">
      <c r="C290" s="4"/>
      <c r="D290" s="4"/>
      <c r="E290" s="4"/>
    </row>
    <row r="291" spans="3:5">
      <c r="C291" s="4"/>
      <c r="D291" s="4"/>
      <c r="E291" s="4"/>
    </row>
    <row r="292" spans="3:5">
      <c r="C292" s="4"/>
      <c r="D292" s="4"/>
      <c r="E292" s="4"/>
    </row>
    <row r="293" spans="3:5">
      <c r="C293" s="4"/>
      <c r="D293" s="4"/>
      <c r="E293" s="4"/>
    </row>
    <row r="294" spans="3:5">
      <c r="C294" s="4"/>
      <c r="D294" s="4"/>
      <c r="E294" s="4"/>
    </row>
    <row r="295" spans="3:5">
      <c r="C295" s="4"/>
      <c r="D295" s="4"/>
      <c r="E295" s="4"/>
    </row>
    <row r="296" spans="3:5">
      <c r="C296" s="4"/>
      <c r="D296" s="4"/>
      <c r="E296" s="4"/>
    </row>
    <row r="297" spans="3:5">
      <c r="C297" s="4"/>
      <c r="D297" s="4"/>
      <c r="E297" s="4"/>
    </row>
    <row r="298" spans="3:5">
      <c r="C298" s="4"/>
      <c r="D298" s="4"/>
      <c r="E298" s="4"/>
    </row>
    <row r="299" spans="3:5">
      <c r="C299" s="4"/>
      <c r="D299" s="4"/>
      <c r="E299" s="4"/>
    </row>
    <row r="300" spans="3:5">
      <c r="C300" s="4"/>
      <c r="D300" s="4"/>
      <c r="E300" s="4"/>
    </row>
    <row r="301" spans="3:5">
      <c r="C301" s="4"/>
      <c r="D301" s="4"/>
      <c r="E301" s="4"/>
    </row>
    <row r="302" spans="3:5">
      <c r="C302" s="4"/>
      <c r="D302" s="4"/>
      <c r="E302" s="4"/>
    </row>
    <row r="303" spans="3:5">
      <c r="C303" s="4"/>
      <c r="D303" s="4"/>
      <c r="E303" s="4"/>
    </row>
    <row r="304" spans="3:5">
      <c r="C304" s="4"/>
      <c r="D304" s="4"/>
      <c r="E304" s="4"/>
    </row>
    <row r="305" spans="3:5">
      <c r="C305" s="4"/>
      <c r="D305" s="4"/>
      <c r="E305" s="4"/>
    </row>
    <row r="306" spans="3:5">
      <c r="C306" s="4"/>
      <c r="D306" s="4"/>
      <c r="E306" s="4"/>
    </row>
    <row r="307" spans="3:5">
      <c r="C307" s="4"/>
      <c r="D307" s="4"/>
      <c r="E307" s="4"/>
    </row>
    <row r="308" spans="3:5">
      <c r="C308" s="4"/>
      <c r="D308" s="4"/>
      <c r="E308" s="4"/>
    </row>
    <row r="309" spans="3:5">
      <c r="C309" s="4"/>
      <c r="D309" s="4"/>
      <c r="E309" s="4"/>
    </row>
    <row r="310" spans="3:5">
      <c r="C310" s="4"/>
      <c r="D310" s="4"/>
      <c r="E310" s="4"/>
    </row>
    <row r="311" spans="3:5">
      <c r="C311" s="4"/>
      <c r="D311" s="4"/>
      <c r="E311" s="4"/>
    </row>
    <row r="312" spans="3:5">
      <c r="C312" s="4"/>
      <c r="D312" s="4"/>
      <c r="E312" s="4"/>
    </row>
    <row r="313" spans="3:5">
      <c r="C313" s="4"/>
      <c r="D313" s="4"/>
      <c r="E313" s="4"/>
    </row>
    <row r="314" spans="3:5">
      <c r="C314" s="4"/>
      <c r="D314" s="4"/>
      <c r="E314" s="4"/>
    </row>
    <row r="315" spans="3:5">
      <c r="C315" s="4"/>
      <c r="D315" s="4"/>
      <c r="E315" s="4"/>
    </row>
    <row r="316" spans="3:5">
      <c r="C316" s="4"/>
      <c r="D316" s="4"/>
      <c r="E316" s="4"/>
    </row>
    <row r="317" spans="3:5">
      <c r="C317" s="4"/>
      <c r="D317" s="4"/>
      <c r="E317" s="4"/>
    </row>
    <row r="318" spans="3:5">
      <c r="C318" s="4"/>
      <c r="D318" s="4"/>
      <c r="E318" s="4"/>
    </row>
    <row r="319" spans="3:5">
      <c r="C319" s="4"/>
      <c r="D319" s="4"/>
      <c r="E319" s="4"/>
    </row>
    <row r="320" spans="3:5">
      <c r="C320" s="4"/>
      <c r="D320" s="4"/>
      <c r="E320" s="4"/>
    </row>
    <row r="321" spans="3:5">
      <c r="C321" s="4"/>
      <c r="D321" s="4"/>
      <c r="E321" s="4"/>
    </row>
    <row r="322" spans="3:5">
      <c r="C322" s="4"/>
      <c r="D322" s="4"/>
      <c r="E322" s="4"/>
    </row>
    <row r="323" spans="3:5">
      <c r="C323" s="4"/>
      <c r="D323" s="4"/>
      <c r="E323" s="4"/>
    </row>
    <row r="324" spans="3:5">
      <c r="C324" s="4"/>
      <c r="D324" s="4"/>
      <c r="E324" s="4"/>
    </row>
    <row r="325" spans="3:5">
      <c r="C325" s="4"/>
      <c r="D325" s="4"/>
      <c r="E325" s="4"/>
    </row>
    <row r="326" spans="3:5">
      <c r="C326" s="4"/>
      <c r="D326" s="4"/>
      <c r="E326" s="4"/>
    </row>
    <row r="327" spans="3:5">
      <c r="C327" s="4"/>
      <c r="D327" s="4"/>
      <c r="E327" s="4"/>
    </row>
    <row r="328" spans="3:5">
      <c r="C328" s="4"/>
      <c r="D328" s="4"/>
      <c r="E328" s="4"/>
    </row>
    <row r="329" spans="3:5">
      <c r="C329" s="4"/>
      <c r="D329" s="4"/>
      <c r="E329" s="4"/>
    </row>
    <row r="330" spans="3:5">
      <c r="C330" s="4"/>
      <c r="D330" s="4"/>
      <c r="E330" s="4"/>
    </row>
    <row r="331" spans="3:5">
      <c r="C331" s="4"/>
      <c r="D331" s="4"/>
      <c r="E331" s="4"/>
    </row>
    <row r="332" spans="3:5">
      <c r="C332" s="4"/>
      <c r="D332" s="4"/>
      <c r="E332" s="4"/>
    </row>
    <row r="333" spans="3:5">
      <c r="C333" s="4"/>
      <c r="D333" s="4"/>
      <c r="E333" s="4"/>
    </row>
    <row r="334" spans="3:5">
      <c r="C334" s="4"/>
      <c r="D334" s="4"/>
      <c r="E334" s="4"/>
    </row>
    <row r="335" spans="3:5">
      <c r="C335" s="4"/>
      <c r="D335" s="4"/>
      <c r="E335" s="4"/>
    </row>
    <row r="336" spans="3:5">
      <c r="C336" s="4"/>
      <c r="D336" s="4"/>
      <c r="E336" s="4"/>
    </row>
    <row r="337" spans="3:5">
      <c r="C337" s="4"/>
      <c r="D337" s="4"/>
      <c r="E337" s="4"/>
    </row>
    <row r="338" spans="3:5">
      <c r="C338" s="4"/>
      <c r="D338" s="4"/>
      <c r="E338" s="4"/>
    </row>
    <row r="339" spans="3:5">
      <c r="C339" s="4"/>
      <c r="D339" s="4"/>
      <c r="E339" s="4"/>
    </row>
    <row r="340" spans="3:5">
      <c r="C340" s="4"/>
      <c r="D340" s="4"/>
      <c r="E340" s="4"/>
    </row>
    <row r="341" spans="3:5">
      <c r="C341" s="4"/>
      <c r="D341" s="4"/>
      <c r="E341" s="4"/>
    </row>
    <row r="342" spans="3:5">
      <c r="C342" s="4"/>
      <c r="D342" s="4"/>
      <c r="E342" s="4"/>
    </row>
    <row r="343" spans="3:5">
      <c r="C343" s="4"/>
      <c r="D343" s="4"/>
      <c r="E343" s="4"/>
    </row>
    <row r="344" spans="3:5">
      <c r="C344" s="4"/>
      <c r="D344" s="4"/>
      <c r="E344" s="4"/>
    </row>
    <row r="345" spans="3:5">
      <c r="C345" s="4"/>
      <c r="D345" s="4"/>
      <c r="E345" s="4"/>
    </row>
    <row r="346" spans="3:5">
      <c r="C346" s="4"/>
      <c r="D346" s="4"/>
      <c r="E346" s="4"/>
    </row>
    <row r="347" spans="3:5">
      <c r="C347" s="4"/>
      <c r="D347" s="4"/>
      <c r="E347" s="4"/>
    </row>
    <row r="348" spans="3:5">
      <c r="C348" s="4"/>
      <c r="D348" s="4"/>
      <c r="E348" s="4"/>
    </row>
    <row r="349" spans="3:5">
      <c r="C349" s="4"/>
      <c r="D349" s="4"/>
      <c r="E349" s="4"/>
    </row>
    <row r="350" spans="3:5">
      <c r="C350" s="4"/>
      <c r="D350" s="4"/>
      <c r="E350" s="4"/>
    </row>
    <row r="351" spans="3:5">
      <c r="C351" s="4"/>
      <c r="D351" s="4"/>
      <c r="E351" s="4"/>
    </row>
    <row r="352" spans="3:5">
      <c r="C352" s="4"/>
      <c r="D352" s="4"/>
      <c r="E352" s="4"/>
    </row>
    <row r="353" spans="3:5">
      <c r="C353" s="4"/>
      <c r="D353" s="4"/>
      <c r="E353" s="4"/>
    </row>
    <row r="354" spans="3:5">
      <c r="C354" s="4"/>
      <c r="D354" s="4"/>
      <c r="E354" s="4"/>
    </row>
    <row r="355" spans="3:5">
      <c r="C355" s="4"/>
      <c r="D355" s="4"/>
      <c r="E355" s="4"/>
    </row>
    <row r="356" spans="3:5">
      <c r="C356" s="4"/>
      <c r="D356" s="4"/>
      <c r="E356" s="4"/>
    </row>
    <row r="357" spans="3:5">
      <c r="C357" s="4"/>
      <c r="D357" s="4"/>
      <c r="E357" s="4"/>
    </row>
    <row r="358" spans="3:5">
      <c r="C358" s="4"/>
      <c r="D358" s="4"/>
      <c r="E358" s="4"/>
    </row>
    <row r="359" spans="3:5">
      <c r="C359" s="4"/>
      <c r="D359" s="4"/>
      <c r="E359" s="4"/>
    </row>
    <row r="360" spans="3:5">
      <c r="C360" s="4"/>
      <c r="D360" s="4"/>
      <c r="E360" s="4"/>
    </row>
    <row r="361" spans="3:5">
      <c r="C361" s="4"/>
      <c r="D361" s="4"/>
      <c r="E361" s="4"/>
    </row>
    <row r="362" spans="3:5">
      <c r="C362" s="4"/>
      <c r="D362" s="4"/>
      <c r="E362" s="4"/>
    </row>
    <row r="363" spans="3:5">
      <c r="C363" s="4"/>
      <c r="D363" s="4"/>
      <c r="E363" s="4"/>
    </row>
    <row r="364" spans="3:5">
      <c r="C364" s="4"/>
      <c r="D364" s="4"/>
      <c r="E364" s="4"/>
    </row>
  </sheetData>
  <conditionalFormatting sqref="B27">
    <cfRule type="expression" dxfId="2" priority="3">
      <formula>#REF!=$B27</formula>
    </cfRule>
  </conditionalFormatting>
  <conditionalFormatting sqref="B194">
    <cfRule type="expression" dxfId="1" priority="2">
      <formula>#REF!=$B194</formula>
    </cfRule>
  </conditionalFormatting>
  <conditionalFormatting sqref="B180">
    <cfRule type="expression" dxfId="0" priority="1">
      <formula>#REF!=$B180</formula>
    </cfRule>
  </conditionalFormatting>
  <dataValidations count="2">
    <dataValidation type="list" allowBlank="1" showInputMessage="1" showErrorMessage="1" sqref="C3">
      <formula1>"NO,YES"</formula1>
    </dataValidation>
    <dataValidation type="list" allowBlank="1" showInputMessage="1" showErrorMessage="1" sqref="E175">
      <formula1>"Bull Case, Base Case, Bear Case"</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D58108A6E984C8BFE62DFA2DFF5F5" ma:contentTypeVersion="10" ma:contentTypeDescription="Create a new document." ma:contentTypeScope="" ma:versionID="29d981b0c53cda4a51e230d1d34d4427">
  <xsd:schema xmlns:xsd="http://www.w3.org/2001/XMLSchema" xmlns:xs="http://www.w3.org/2001/XMLSchema" xmlns:p="http://schemas.microsoft.com/office/2006/metadata/properties" xmlns:ns3="ae0e20d5-9461-4c10-9964-990d847ef4a4" targetNamespace="http://schemas.microsoft.com/office/2006/metadata/properties" ma:root="true" ma:fieldsID="83af45b8346b3167b397d0398c58e186" ns3:_="">
    <xsd:import namespace="ae0e20d5-9461-4c10-9964-990d847ef4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0e20d5-9461-4c10-9964-990d847ef4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884677-5CF0-43B0-93C3-86CAF8A6F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0e20d5-9461-4c10-9964-990d847ef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38578D-477A-490D-90B6-74B869D18C50}">
  <ds:schemaRefs>
    <ds:schemaRef ds:uri="http://schemas.microsoft.com/sharepoint/v3/contenttype/forms"/>
  </ds:schemaRefs>
</ds:datastoreItem>
</file>

<file path=customXml/itemProps3.xml><?xml version="1.0" encoding="utf-8"?>
<ds:datastoreItem xmlns:ds="http://schemas.openxmlformats.org/officeDocument/2006/customXml" ds:itemID="{3991314F-2B60-4743-94A0-BD11DE1B90D4}">
  <ds:schemaRefs>
    <ds:schemaRef ds:uri="http://schemas.microsoft.com/office/infopath/2007/PartnerControls"/>
    <ds:schemaRef ds:uri="http://purl.org/dc/dcmitype/"/>
    <ds:schemaRef ds:uri="http://purl.org/dc/terms/"/>
    <ds:schemaRef ds:uri="ae0e20d5-9461-4c10-9964-990d847ef4a4"/>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 Street Prep</dc:creator>
  <cp:keywords/>
  <dc:description/>
  <cp:lastModifiedBy>Jakotowicz, Richard Christopher, JR</cp:lastModifiedBy>
  <cp:revision/>
  <dcterms:created xsi:type="dcterms:W3CDTF">2011-11-04T21:28:06Z</dcterms:created>
  <dcterms:modified xsi:type="dcterms:W3CDTF">2020-08-23T16:52:33Z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0x010100E4AD58108A6E984C8BFE62DFA2DFF5F5</vt:lpwstr>
  </property>
</Properties>
</file>