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ms-office.vbaProject"/>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codeName="{B7FE6334-C1A2-E50D-BD3D-5F4D41BBC2E3}"/>
  <workbookPr codeName="ThisWorkbook" defaultThemeVersion="124226"/>
  <bookViews>
    <workbookView xWindow="65521" yWindow="120" windowWidth="19050" windowHeight="10725" tabRatio="879" activeTab="0"/>
  </bookViews>
  <sheets>
    <sheet name="Instructions" sheetId="23" r:id="rId1"/>
    <sheet name="Project Information" sheetId="100" r:id="rId2"/>
    <sheet name="Report" sheetId="46" r:id="rId3"/>
    <sheet name="Urban Site Total" sheetId="20" state="hidden" r:id="rId4"/>
    <sheet name="Intersection Tables" sheetId="28" state="hidden" r:id="rId5"/>
    <sheet name="Segment Tables" sheetId="27" state="hidden" r:id="rId6"/>
    <sheet name="Segment Template" sheetId="17" state="hidden" r:id="rId7"/>
    <sheet name="Intersection Template" sheetId="24" state="hidden" r:id="rId8"/>
    <sheet name="Multi-Year Template" sheetId="221" state="hidden" r:id="rId9"/>
    <sheet name="Multi-Year Summary" sheetId="211" state="hidden" r:id="rId10"/>
    <sheet name="Multi-Year Analysis Report" sheetId="223" state="hidden" r:id="rId11"/>
    <sheet name="Construction - do not delete" sheetId="10" state="hidden" r:id="rId12"/>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IType2">'Construction - do not delete'!$F$71:$F$74</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OffsetFO">'Construction - do not delete'!$L$55:$L$61</definedName>
    <definedName name="OnStreet">'Construction - do not delete'!$J$55:$J$58</definedName>
    <definedName name="OnStreetType">'Construction - do not delete'!$J$55:$J$59</definedName>
    <definedName name="Phasing">'Construction - do not delete'!$H$71:$H$74</definedName>
    <definedName name="Phasing2">'Construction - do not delete'!$L$71:$L$75</definedName>
    <definedName name="PLane">'Construction - do not delete'!$J$17:$J$18</definedName>
    <definedName name="PLane2">'Construction - do not delete'!$J$17:$J$19</definedName>
    <definedName name="Posted">'Construction - do not delete'!$N$55:$N$56</definedName>
    <definedName name="PresOrNot">'Construction - do not delete'!$H$55:$H$56</definedName>
    <definedName name="_xlnm.Print_Area" localSheetId="0">'Instructions'!$C$1:$O$40</definedName>
    <definedName name="_xlnm.Print_Area" localSheetId="7">'Intersection Template'!$A$1:$N$204</definedName>
    <definedName name="_xlnm.Print_Area" localSheetId="10">'Multi-Year Analysis Report'!$A$1:$J$36</definedName>
    <definedName name="_xlnm.Print_Area" localSheetId="9">'Multi-Year Summary'!$A$1:$J$87</definedName>
    <definedName name="_xlnm.Print_Area" localSheetId="8">'Multi-Year Template'!$A$1:$J$23</definedName>
    <definedName name="_xlnm.Print_Area" localSheetId="1">'Project Information'!$A$1:$I$38</definedName>
    <definedName name="_xlnm.Print_Area" localSheetId="2">'Report'!$A$1:$J$36</definedName>
    <definedName name="_xlnm.Print_Area" localSheetId="6">'Segment Template'!$A$1:$N$206</definedName>
    <definedName name="_xlnm.Print_Area" localSheetId="3">'Urban Site Total'!$A$1:$N$48</definedName>
    <definedName name="Pspeed">'Construction - do not delete'!$N$54</definedName>
    <definedName name="RApproach">'Construction - do not delete'!$H$29:$H$33</definedName>
    <definedName name="RHR">'Construction - do not delete'!$F$4:$F$10</definedName>
    <definedName name="RType">'Construction - do not delete'!$D$55:$D$59</definedName>
    <definedName name="Shld2">'Construction - do not delete'!$J$37:$J$47</definedName>
    <definedName name="SpEnforce">'Construction - do not delete'!$J$23:$J$24</definedName>
    <definedName name="Spiral">'Construction - do not delete'!$F$17:$F$18</definedName>
    <definedName name="SSlope">'Construction - do not delete'!$H$37:$H$41</definedName>
    <definedName name="SType">'Construction - do not delete'!$D$17:$D$20</definedName>
    <definedName name="SWidth">'Construction - do not delete'!$D$4:$D$12</definedName>
    <definedName name="TLanes">'Construction - do not delete'!$D$71:$D$75</definedName>
    <definedName name="TWLTL">'Construction - do not delete'!$F$23:$F$24</definedName>
    <definedName name="UMedian">'Construction - do not delete'!$F$56:$F$66</definedName>
    <definedName name="UMedian2">'Construction - do not delete'!$F$56:$F$66</definedName>
    <definedName name="UMedWidth">'Construction - do not delete'!$F$55:$F$66</definedName>
    <definedName name="UnsigApproach">'Construction - do not delete'!$J$71:$J$73</definedName>
    <definedName name="_xlnm.Print_Titles" localSheetId="9">'Multi-Year Summary'!$1:$12</definedName>
  </definedNames>
  <calcPr calcId="125725"/>
</workbook>
</file>

<file path=xl/sharedStrings.xml><?xml version="1.0" encoding="utf-8"?>
<sst xmlns="http://schemas.openxmlformats.org/spreadsheetml/2006/main" count="1725" uniqueCount="721">
  <si>
    <t>General Information</t>
  </si>
  <si>
    <t>Analyst</t>
  </si>
  <si>
    <t>Agency or Company</t>
  </si>
  <si>
    <t>Date Performed</t>
  </si>
  <si>
    <t>Input Data</t>
  </si>
  <si>
    <t>Length of segment, L (mi)</t>
  </si>
  <si>
    <t>AADT (veh/day)</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</si>
  <si>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</si>
  <si>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</si>
  <si>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</si>
  <si>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</si>
  <si>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</si>
  <si>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</si>
  <si>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</si>
  <si>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</si>
  <si>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</si>
  <si>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</si>
  <si>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</si>
  <si>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</si>
  <si>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</si>
  <si>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</si>
  <si>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</si>
  <si>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</si>
  <si>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</si>
  <si>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</si>
  <si>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CMF for Lighting</t>
  </si>
  <si>
    <t>CMF for Automated Speed Enforcement</t>
  </si>
  <si>
    <t>CMF comb</t>
  </si>
  <si>
    <t>Crash Severity Level</t>
  </si>
  <si>
    <t>Overdispersion Parameter, k</t>
  </si>
  <si>
    <t>Combined CMFs</t>
  </si>
  <si>
    <t>Total</t>
  </si>
  <si>
    <t>Fatal and Injury (FI)</t>
  </si>
  <si>
    <t>Property Damage Only (PDO)</t>
  </si>
  <si>
    <t>Collision Type</t>
  </si>
  <si>
    <t>Angle collision</t>
  </si>
  <si>
    <t>Head-on collision</t>
  </si>
  <si>
    <t>Rear-end collision</t>
  </si>
  <si>
    <t>Crash severity level</t>
  </si>
  <si>
    <t>Predicted average crash frequency (crashes/year)</t>
  </si>
  <si>
    <t>Shoulder Type</t>
  </si>
  <si>
    <t>Lane Width</t>
  </si>
  <si>
    <t>TWLTL</t>
  </si>
  <si>
    <t>Lighting</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</si>
  <si>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</si>
  <si>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</si>
  <si>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</si>
  <si>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</si>
  <si>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</si>
  <si>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</si>
  <si>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</si>
  <si>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</si>
  <si>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</si>
  <si>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</si>
  <si>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</si>
  <si>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</si>
  <si>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</si>
  <si>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</si>
  <si>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</si>
  <si>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</si>
  <si>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</si>
  <si>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Present (1 lane)</t>
  </si>
  <si>
    <t>Present (2 lanes)</t>
  </si>
  <si>
    <t>Local</t>
  </si>
  <si>
    <t>Yes</t>
  </si>
  <si>
    <t>No</t>
  </si>
  <si>
    <t>Locally-Derived Values?</t>
  </si>
  <si>
    <t>Intersection lighting (present/not present)</t>
  </si>
  <si>
    <t>Itype</t>
  </si>
  <si>
    <t>3ST</t>
  </si>
  <si>
    <t>4ST</t>
  </si>
  <si>
    <t>4SG</t>
  </si>
  <si>
    <t>Lapproach</t>
  </si>
  <si>
    <t>Rapproach</t>
  </si>
  <si>
    <t>Ilight</t>
  </si>
  <si>
    <t>CMF for Left-Turn Lanes</t>
  </si>
  <si>
    <t>CMF for Right-Turn Lanes</t>
  </si>
  <si>
    <t>Combined CMF</t>
  </si>
  <si>
    <t>Differ</t>
  </si>
  <si>
    <t>Median width (ft) - for divided only</t>
  </si>
  <si>
    <t>CMF for Median Width</t>
  </si>
  <si>
    <t>(1)*(2)*(3)*(4)*(5)</t>
  </si>
  <si>
    <t>SPF Coefficients</t>
  </si>
  <si>
    <t>a</t>
  </si>
  <si>
    <t>b</t>
  </si>
  <si>
    <t>Mwidth</t>
  </si>
  <si>
    <t>Divided</t>
  </si>
  <si>
    <t>Undivided</t>
  </si>
  <si>
    <t>Division</t>
  </si>
  <si>
    <t>Sideswipe</t>
  </si>
  <si>
    <t>Other</t>
  </si>
  <si>
    <t>PDO</t>
  </si>
  <si>
    <t>Sslope</t>
  </si>
  <si>
    <t>1:2 or Steeper</t>
  </si>
  <si>
    <t>1:4</t>
  </si>
  <si>
    <t>1:5</t>
  </si>
  <si>
    <t>1:6</t>
  </si>
  <si>
    <t>1:7 or Flatter</t>
  </si>
  <si>
    <t>4U</t>
  </si>
  <si>
    <t>Shld2</t>
  </si>
  <si>
    <t>CMF</t>
  </si>
  <si>
    <t>4D</t>
  </si>
  <si>
    <t>Iapproach</t>
  </si>
  <si>
    <t>Intersection 1</t>
  </si>
  <si>
    <t>COMBINED (sum of column)</t>
  </si>
  <si>
    <t>ROADWAY SEGMENTS</t>
  </si>
  <si>
    <t>INTERSECTIONS</t>
  </si>
  <si>
    <t>Weighted adjustment, w</t>
  </si>
  <si>
    <t>Equation A-5 from Part C Appendix</t>
  </si>
  <si>
    <t>Equation   A-4 from Part C Appendix</t>
  </si>
  <si>
    <t>Fatal and injury (FI)</t>
  </si>
  <si>
    <t>Property damage only (PDO)</t>
  </si>
  <si>
    <t>Type of on-street parking (none/parallel/angle)</t>
  </si>
  <si>
    <t>Proportion of curb length with on-street parking</t>
  </si>
  <si>
    <t>Lighting (present / not present)</t>
  </si>
  <si>
    <t>Auto speed enforcement (present / not present)</t>
  </si>
  <si>
    <t>Major commercial driveways (number)</t>
  </si>
  <si>
    <t>Minor commercial driveways (number)</t>
  </si>
  <si>
    <t>Major industrial / institutional driveways (number)</t>
  </si>
  <si>
    <t>Minor industrial / institutional driveways (number)</t>
  </si>
  <si>
    <t>Major residential driveways (number)</t>
  </si>
  <si>
    <t>Minor residential driveways (number)</t>
  </si>
  <si>
    <t>Other driveways (number)</t>
  </si>
  <si>
    <t>Speed Category</t>
  </si>
  <si>
    <t>Roadside fixed object density (fixed objects / mi)</t>
  </si>
  <si>
    <t>Urban / Suburban Fields:</t>
  </si>
  <si>
    <t>Rtype</t>
  </si>
  <si>
    <t>3T</t>
  </si>
  <si>
    <t>2U</t>
  </si>
  <si>
    <t>UMedWidth</t>
  </si>
  <si>
    <t>PresOrNot</t>
  </si>
  <si>
    <t>None</t>
  </si>
  <si>
    <t>CMF for On-Street Parking</t>
  </si>
  <si>
    <t>CMF 1r</t>
  </si>
  <si>
    <t>from Equation 12-32</t>
  </si>
  <si>
    <t>Type of Parking and Land Use</t>
  </si>
  <si>
    <t>Parallel Parking</t>
  </si>
  <si>
    <t>Residential/  Other</t>
  </si>
  <si>
    <t>Commercial or Industrial/ Institutional</t>
  </si>
  <si>
    <t>Angle Parking</t>
  </si>
  <si>
    <t>Road Type</t>
  </si>
  <si>
    <t>5T</t>
  </si>
  <si>
    <t>Parallel (Residential)</t>
  </si>
  <si>
    <t>Parallel (Comm/Ind)</t>
  </si>
  <si>
    <t>Angle (Residential)</t>
  </si>
  <si>
    <t>Angle (Comm/Ind)</t>
  </si>
  <si>
    <t>OnStreetType</t>
  </si>
  <si>
    <t>CMF for Roadside Fixed Objects</t>
  </si>
  <si>
    <t>CMF 2r</t>
  </si>
  <si>
    <t>from Equation 12-33</t>
  </si>
  <si>
    <t>Offset to fixed objects</t>
  </si>
  <si>
    <r>
      <t>(O</t>
    </r>
    <r>
      <rPr>
        <b/>
        <vertAlign val="subscript"/>
        <sz val="10"/>
        <rFont val="Arial"/>
        <family val="2"/>
      </rPr>
      <t>fo</t>
    </r>
    <r>
      <rPr>
        <b/>
        <sz val="10"/>
        <rFont val="Arial"/>
        <family val="2"/>
      </rPr>
      <t>) (ft)</t>
    </r>
  </si>
  <si>
    <t>Fixed-Object Offset Factor</t>
  </si>
  <si>
    <r>
      <t>(f</t>
    </r>
    <r>
      <rPr>
        <b/>
        <vertAlign val="subscript"/>
        <sz val="10"/>
        <rFont val="Arial"/>
        <family val="2"/>
      </rPr>
      <t>offset</t>
    </r>
    <r>
      <rPr>
        <b/>
        <sz val="10"/>
        <rFont val="Arial"/>
        <family val="2"/>
      </rPr>
      <t>)</t>
    </r>
  </si>
  <si>
    <t>OffsetFO</t>
  </si>
  <si>
    <r>
      <rPr>
        <sz val="10"/>
        <rFont val="Calibri"/>
        <family val="2"/>
      </rPr>
      <t>≥</t>
    </r>
    <r>
      <rPr>
        <sz val="10"/>
        <rFont val="Arial"/>
        <family val="2"/>
      </rPr>
      <t xml:space="preserve"> </t>
    </r>
    <r>
      <rPr>
        <sz val="10"/>
        <rFont val="Arial"/>
        <family val="2"/>
      </rPr>
      <t>30</t>
    </r>
  </si>
  <si>
    <r>
      <rPr>
        <sz val="10"/>
        <rFont val="Calibri"/>
        <family val="2"/>
      </rPr>
      <t xml:space="preserve">≥ </t>
    </r>
    <r>
      <rPr>
        <sz val="10"/>
        <rFont val="Arial"/>
        <family val="2"/>
      </rPr>
      <t>30</t>
    </r>
  </si>
  <si>
    <r>
      <t>Proportion of Fixed-Object Collisions (p</t>
    </r>
    <r>
      <rPr>
        <b/>
        <vertAlign val="subscript"/>
        <sz val="10"/>
        <rFont val="Arial"/>
        <family val="2"/>
      </rPr>
      <t>fo</t>
    </r>
    <r>
      <rPr>
        <b/>
        <sz val="10"/>
        <rFont val="Arial"/>
        <family val="2"/>
      </rPr>
      <t>)</t>
    </r>
  </si>
  <si>
    <t>CMF 3r</t>
  </si>
  <si>
    <t>Median Width (ft)</t>
  </si>
  <si>
    <t>CMF 4r</t>
  </si>
  <si>
    <t>from Equation 12-34</t>
  </si>
  <si>
    <t>Proportion of Total Nighttime Crashes by Severity Level</t>
  </si>
  <si>
    <r>
      <t>Fatal and Injury (p</t>
    </r>
    <r>
      <rPr>
        <b/>
        <vertAlign val="subscript"/>
        <sz val="10"/>
        <rFont val="Arial"/>
        <family val="2"/>
      </rPr>
      <t>inr</t>
    </r>
    <r>
      <rPr>
        <b/>
        <sz val="10"/>
        <rFont val="Arial"/>
        <family val="2"/>
      </rPr>
      <t>)</t>
    </r>
  </si>
  <si>
    <r>
      <t>PDO (p</t>
    </r>
    <r>
      <rPr>
        <b/>
        <vertAlign val="subscript"/>
        <sz val="10"/>
        <rFont val="Arial"/>
        <family val="2"/>
      </rPr>
      <t>pnr</t>
    </r>
    <r>
      <rPr>
        <b/>
        <sz val="10"/>
        <rFont val="Arial"/>
        <family val="2"/>
      </rPr>
      <t>)</t>
    </r>
  </si>
  <si>
    <t>Proportion of Crashes that Occur at Night</t>
  </si>
  <si>
    <r>
      <t>(p</t>
    </r>
    <r>
      <rPr>
        <b/>
        <vertAlign val="subscript"/>
        <sz val="10"/>
        <rFont val="Arial"/>
        <family val="2"/>
      </rPr>
      <t>nr</t>
    </r>
    <r>
      <rPr>
        <b/>
        <sz val="10"/>
        <rFont val="Arial"/>
        <family val="2"/>
      </rPr>
      <t>)</t>
    </r>
  </si>
  <si>
    <t>CMF 5r</t>
  </si>
  <si>
    <t>from Section 12.7.1</t>
  </si>
  <si>
    <t>Proportion of Total Crashes</t>
  </si>
  <si>
    <t>from Equation 12-10</t>
  </si>
  <si>
    <t>(6) from Worksheet 1B</t>
  </si>
  <si>
    <t>(6)*(7)*(8)</t>
  </si>
  <si>
    <t>Coefficients use in Eqn. 12-10</t>
  </si>
  <si>
    <t>Overdispersion    parameter     (k)</t>
  </si>
  <si>
    <t>Road type</t>
  </si>
  <si>
    <t>(a)</t>
  </si>
  <si>
    <t>(b)</t>
  </si>
  <si>
    <t>Intercept</t>
  </si>
  <si>
    <t>AADT</t>
  </si>
  <si>
    <t>Total crashes</t>
  </si>
  <si>
    <t>Fatal-and-injury crashes</t>
  </si>
  <si>
    <t>Property-damage-only crashes</t>
  </si>
  <si>
    <t>(3)+(5)</t>
  </si>
  <si>
    <t>Sideswipe, same direction</t>
  </si>
  <si>
    <t>Sideswipe, opposite direction</t>
  </si>
  <si>
    <t>Proportion of crashes by severity level for specific road types</t>
  </si>
  <si>
    <t>FI</t>
  </si>
  <si>
    <t>Source: HSIS data for Washington (2002-2006)</t>
  </si>
  <si>
    <t>Other multiple-vehicle collision</t>
  </si>
  <si>
    <t>from Equation 12-13</t>
  </si>
  <si>
    <t>Coefficients use in Eqn. 12-11</t>
  </si>
  <si>
    <t>Collision with animal</t>
  </si>
  <si>
    <t>Collision with fixed object</t>
  </si>
  <si>
    <t>Collision with other object</t>
  </si>
  <si>
    <t>Other single-vehicle collision</t>
  </si>
  <si>
    <t xml:space="preserve">Driveway Type </t>
  </si>
  <si>
    <t>Overdispersion parameter, k</t>
  </si>
  <si>
    <t>Coefficient for traffic adjustment, t</t>
  </si>
  <si>
    <t>Equation 12-16</t>
  </si>
  <si>
    <t>Major commercial</t>
  </si>
  <si>
    <t>Minor commercial</t>
  </si>
  <si>
    <t>Major industrial/institutional</t>
  </si>
  <si>
    <t>Minor industrial/institutional</t>
  </si>
  <si>
    <t>Major residential</t>
  </si>
  <si>
    <t>Minor residential</t>
  </si>
  <si>
    <t>(4)*(5)*(6)</t>
  </si>
  <si>
    <t>(5)*(6)*(7)</t>
  </si>
  <si>
    <t>(9) from Worksheet 1C</t>
  </si>
  <si>
    <t>(9) from Worksheet 1E</t>
  </si>
  <si>
    <t>(7) from Worksheet 1H</t>
  </si>
  <si>
    <t>(2)+(3)+(4)</t>
  </si>
  <si>
    <t>(3) from Worksheet 1D and 1F;</t>
  </si>
  <si>
    <t>(8) from Worksheet 1I and 1J</t>
  </si>
  <si>
    <t>(5) from Worksheet 1D and 1F; and</t>
  </si>
  <si>
    <t>(7) from Worksheet 1H; and</t>
  </si>
  <si>
    <t>(6) from Worksheet 1D and 1F;</t>
  </si>
  <si>
    <t>MULTIPLE-VEHICLE</t>
  </si>
  <si>
    <t>SINGLE-VEHICLE</t>
  </si>
  <si>
    <t>Rear-end collisions (from Worksheet 1D)</t>
  </si>
  <si>
    <t>Head-on collisions (from Worksheet 1D)</t>
  </si>
  <si>
    <t>Angle collisions (from Worksheet 1D)</t>
  </si>
  <si>
    <t>Sideswipe, same direction (from Worksheet 1D)</t>
  </si>
  <si>
    <t>Sideswipe, opposite direction (from Worksheet 1D)</t>
  </si>
  <si>
    <t>Driveway-related collisions (from Worksheet 1H)</t>
  </si>
  <si>
    <t>Other multiple-vehicle collision (from Worksheet 1D)</t>
  </si>
  <si>
    <t>Subtotal</t>
  </si>
  <si>
    <t>Collision with animal (from Worksheet 1F)</t>
  </si>
  <si>
    <t>Collision with fixed object (from Worksheet 1F)</t>
  </si>
  <si>
    <t>Collision with other object (from Worksheet 1F)</t>
  </si>
  <si>
    <t>Other single-vehicle collision (from Worksheet 1F)</t>
  </si>
  <si>
    <t>Collision with pedestrian (from Worksheet 1I)</t>
  </si>
  <si>
    <t>Collision with bicycle (from Worksheet 1J)</t>
  </si>
  <si>
    <t>Roadway segment length, L (mi)</t>
  </si>
  <si>
    <t>Crash rate (crashes/mi/year)</t>
  </si>
  <si>
    <t>(Total) from Worksheet 1K</t>
  </si>
  <si>
    <t>(2) / (3)</t>
  </si>
  <si>
    <t>Driveway type (j)</t>
  </si>
  <si>
    <r>
      <t>Number of driveway-related collisions per driveway per year (N</t>
    </r>
    <r>
      <rPr>
        <b/>
        <vertAlign val="subscript"/>
        <sz val="10"/>
        <rFont val="Arial"/>
        <family val="2"/>
      </rPr>
      <t>j</t>
    </r>
    <r>
      <rPr>
        <b/>
        <sz val="10"/>
        <rFont val="Arial"/>
        <family val="2"/>
      </rPr>
      <t>)</t>
    </r>
  </si>
  <si>
    <t>Major industrial / industrial</t>
  </si>
  <si>
    <t>Minor industrial / institutional</t>
  </si>
  <si>
    <t>Regression coefficient for AADT (t)</t>
  </si>
  <si>
    <t>All driveways</t>
  </si>
  <si>
    <t>Overdispersion parameter (k)</t>
  </si>
  <si>
    <r>
      <t>Proportion of fatal-and-injury crashes (f</t>
    </r>
    <r>
      <rPr>
        <b/>
        <vertAlign val="subscript"/>
        <sz val="10"/>
        <rFont val="Arial"/>
        <family val="2"/>
      </rPr>
      <t>dwy</t>
    </r>
    <r>
      <rPr>
        <b/>
        <sz val="10"/>
        <rFont val="Arial"/>
        <family val="2"/>
      </rPr>
      <t>)</t>
    </r>
  </si>
  <si>
    <t>Proportion of property-damage-only crashes</t>
  </si>
  <si>
    <t>Coefficients for specific roadway types</t>
  </si>
  <si>
    <t>Note: Includes only unsignalized driveways; signalized driveways are analyzed as signalized intersections. Majjor driveways serve 50 or more parking spaces; minor driveways serve less thanh 50 parking spaces.</t>
  </si>
  <si>
    <t>Posted Speed 30 mph or Lower</t>
  </si>
  <si>
    <t>Posted Speed Greater than 30 mph</t>
  </si>
  <si>
    <t>Posted</t>
  </si>
  <si>
    <r>
      <t>Pedestrian Crash Adjustment Factor (f</t>
    </r>
    <r>
      <rPr>
        <b/>
        <vertAlign val="subscript"/>
        <sz val="10"/>
        <rFont val="Arial"/>
        <family val="2"/>
      </rPr>
      <t>pedr</t>
    </r>
    <r>
      <rPr>
        <b/>
        <sz val="10"/>
        <rFont val="Arial"/>
        <family val="2"/>
      </rPr>
      <t>)</t>
    </r>
  </si>
  <si>
    <r>
      <t>Bicycle Crash Adjustment Factor (f</t>
    </r>
    <r>
      <rPr>
        <b/>
        <vertAlign val="subscript"/>
        <sz val="10"/>
        <rFont val="Arial"/>
        <family val="2"/>
      </rPr>
      <t>biker</t>
    </r>
    <r>
      <rPr>
        <b/>
        <sz val="10"/>
        <rFont val="Arial"/>
        <family val="2"/>
      </rPr>
      <t>)</t>
    </r>
  </si>
  <si>
    <t>Note:  These factors apply to the methodology for predicting total crashes (all seerity levels combined). All pedestrian collisions resulting from this adjustment factor are treated as fatal-and-injury crashes and none as property-damage-only crashes.  Source:  HSIS data for Washington (2002-2006)</t>
  </si>
  <si>
    <t>Note:  These factors apply to the methodology for predicting total crashes (all seerity levels combined). All bicycle collisions resulting from this adjustment factor are treated as fatal-and-injury crashes and none as property-damage-only crashes.  Source:  HSIS data for Washington (2002-2006)</t>
  </si>
  <si>
    <t>Note:  Values from 2 to 30 can be estimated using the following equation:</t>
  </si>
  <si>
    <r>
      <t>y=0.3566 x</t>
    </r>
    <r>
      <rPr>
        <vertAlign val="superscript"/>
        <sz val="10"/>
        <rFont val="Arial"/>
        <family val="2"/>
      </rPr>
      <t>-0.614</t>
    </r>
  </si>
  <si>
    <t>Offset to roadside fixed objects (ft) [If greater than 30 or Not Present, input 30]</t>
  </si>
  <si>
    <t>Intersection type (3ST, 3SG, 4ST, 4SG)</t>
  </si>
  <si>
    <t>Data for unsignalized intersections only:</t>
  </si>
  <si>
    <t>Permissive</t>
  </si>
  <si>
    <t>Tlanes</t>
  </si>
  <si>
    <t>CMF 1i</t>
  </si>
  <si>
    <t>CMF for Left-Turn Signal Phasing</t>
  </si>
  <si>
    <t>CMF 2i</t>
  </si>
  <si>
    <t>CMF 3i</t>
  </si>
  <si>
    <t>CMF for Right Turn on Red</t>
  </si>
  <si>
    <t>CMF 4i</t>
  </si>
  <si>
    <t>from Equation 12-35</t>
  </si>
  <si>
    <t>CMF 5i</t>
  </si>
  <si>
    <t>from Equation 12-36</t>
  </si>
  <si>
    <t>CMF 6i</t>
  </si>
  <si>
    <t>from Equation 12-37</t>
  </si>
  <si>
    <t>CMF for Red Light Cameras</t>
  </si>
  <si>
    <t>(1)*(2)*(3)*(4)*(5)*(6)</t>
  </si>
  <si>
    <t>c</t>
  </si>
  <si>
    <t>(7) from Worksheet 2B</t>
  </si>
  <si>
    <t>Collision with parked vehicle</t>
  </si>
  <si>
    <t>Single-vehicle noncollision</t>
  </si>
  <si>
    <t>(9) from Worksheet 2C</t>
  </si>
  <si>
    <t>(9) from Worksheet 2E</t>
  </si>
  <si>
    <t>CMF for Bus Stops</t>
  </si>
  <si>
    <t>CMF for Schools</t>
  </si>
  <si>
    <t>CMF for Alcohol Sales Establishments</t>
  </si>
  <si>
    <t>(1)*(2)*(3)</t>
  </si>
  <si>
    <t>d</t>
  </si>
  <si>
    <t>e</t>
  </si>
  <si>
    <t>(4) from Worksheet 2H</t>
  </si>
  <si>
    <t>(3) from Worksheet 2D and 2F;</t>
  </si>
  <si>
    <t>(7) from 2G or 2I and 2J</t>
  </si>
  <si>
    <t>(5) from Worksheet 2D and 2F</t>
  </si>
  <si>
    <t>(6) from Worksheet 2D and 2F;</t>
  </si>
  <si>
    <t>Rear-end collisions (from Worksheet 2D)</t>
  </si>
  <si>
    <t>Head-on collisions (from Worksheet 2D)</t>
  </si>
  <si>
    <t>Angle collisions (from Worksheet 2D)</t>
  </si>
  <si>
    <t>Sideswipe (from Worksheet 2D)</t>
  </si>
  <si>
    <t>Other multiple-vehicle collision (from Worksheet 2D)</t>
  </si>
  <si>
    <t>Collision with parked vehicle (from Worksheet 2F)</t>
  </si>
  <si>
    <t>Collision with animal (from Worksheet 2F)</t>
  </si>
  <si>
    <t>Collision with fixed object (from Worksheet 2F)</t>
  </si>
  <si>
    <t>Collision with other object (from Worksheet 2F)</t>
  </si>
  <si>
    <t>Other single-vehicle collision (from Worksheet 2F)</t>
  </si>
  <si>
    <t>Single-vehicle noncollision (from Worksheet 2F)</t>
  </si>
  <si>
    <t>Collision with pedestrian (from Worksheet 2G or 2I)</t>
  </si>
  <si>
    <t>Collision with bicycle (from Worksheet 2J)</t>
  </si>
  <si>
    <t>(Total) from Worksheet 2K</t>
  </si>
  <si>
    <t>Tables Affiliated with SPF Computation:</t>
  </si>
  <si>
    <t>(c)</t>
  </si>
  <si>
    <t>Intersection type</t>
  </si>
  <si>
    <r>
      <t>AADT</t>
    </r>
    <r>
      <rPr>
        <b/>
        <vertAlign val="subscript"/>
        <sz val="10"/>
        <rFont val="Arial"/>
        <family val="2"/>
      </rPr>
      <t>maj</t>
    </r>
  </si>
  <si>
    <r>
      <t>AADT</t>
    </r>
    <r>
      <rPr>
        <b/>
        <vertAlign val="subscript"/>
        <sz val="10"/>
        <rFont val="Arial"/>
        <family val="2"/>
      </rPr>
      <t>min</t>
    </r>
  </si>
  <si>
    <t>Coefficients use in Eqn. 12-21</t>
  </si>
  <si>
    <t>3SG</t>
  </si>
  <si>
    <t>Coefficients use in Eqn. 12-24</t>
  </si>
  <si>
    <t>Note:  Where no models are available, Equations 12-27 is used.</t>
  </si>
  <si>
    <t>Equation 12-27:</t>
  </si>
  <si>
    <t>Nbisv(FI) = Nbisv(TOTAL) x fbisv</t>
  </si>
  <si>
    <t>Coefficients use in Eqn. 12-29</t>
  </si>
  <si>
    <r>
      <t>AADT</t>
    </r>
    <r>
      <rPr>
        <b/>
        <vertAlign val="subscript"/>
        <sz val="10"/>
        <rFont val="Arial"/>
        <family val="2"/>
      </rPr>
      <t>tot</t>
    </r>
  </si>
  <si>
    <r>
      <t>AADT</t>
    </r>
    <r>
      <rPr>
        <b/>
        <vertAlign val="subscript"/>
        <sz val="10"/>
        <rFont val="Arial"/>
        <family val="2"/>
      </rPr>
      <t>min</t>
    </r>
    <r>
      <rPr>
        <b/>
        <sz val="10"/>
        <rFont val="Arial"/>
        <family val="2"/>
      </rPr>
      <t>/AADT</t>
    </r>
    <r>
      <rPr>
        <b/>
        <vertAlign val="subscript"/>
        <sz val="10"/>
        <rFont val="Arial"/>
        <family val="2"/>
      </rPr>
      <t>maj</t>
    </r>
  </si>
  <si>
    <t>(d)</t>
  </si>
  <si>
    <t>PedVol</t>
  </si>
  <si>
    <t>(e)</t>
  </si>
  <si>
    <r>
      <t>n</t>
    </r>
    <r>
      <rPr>
        <b/>
        <vertAlign val="subscript"/>
        <sz val="10"/>
        <rFont val="Arial"/>
        <family val="2"/>
      </rPr>
      <t>lanesx</t>
    </r>
  </si>
  <si>
    <t>Proportion of crashes by severity level for specific intersection types</t>
  </si>
  <si>
    <t>Tables Affiliated with Crash Statistics:</t>
  </si>
  <si>
    <t>Noncollision</t>
  </si>
  <si>
    <t>Intersection Type</t>
  </si>
  <si>
    <r>
      <t>Proportion of crashes that occur at night, p</t>
    </r>
    <r>
      <rPr>
        <b/>
        <vertAlign val="subscript"/>
        <sz val="10"/>
        <rFont val="Arial"/>
        <family val="2"/>
      </rPr>
      <t>ni</t>
    </r>
  </si>
  <si>
    <t>Tables Affiliated with Crash Modification Factors:</t>
  </si>
  <si>
    <t>Intersection traffic control</t>
  </si>
  <si>
    <r>
      <t>Minor-road STOP control</t>
    </r>
    <r>
      <rPr>
        <vertAlign val="superscript"/>
        <sz val="10"/>
        <rFont val="Arial"/>
        <family val="2"/>
      </rPr>
      <t>b</t>
    </r>
  </si>
  <si>
    <t>Traffic signal</t>
  </si>
  <si>
    <r>
      <t>Minor-road STOP control</t>
    </r>
    <r>
      <rPr>
        <vertAlign val="superscript"/>
        <sz val="10"/>
        <rFont val="Arial"/>
        <family val="2"/>
      </rPr>
      <t>a</t>
    </r>
  </si>
  <si>
    <r>
      <t xml:space="preserve">a </t>
    </r>
    <r>
      <rPr>
        <sz val="8"/>
        <rFont val="Arial"/>
        <family val="2"/>
      </rPr>
      <t>STOP-controlled approaches are not considered in determining the number of approaches with left-turn lanes.</t>
    </r>
  </si>
  <si>
    <r>
      <t xml:space="preserve">b </t>
    </r>
    <r>
      <rPr>
        <sz val="8"/>
        <rFont val="Arial"/>
        <family val="2"/>
      </rPr>
      <t>Stop signs present on minor-road approaches only.</t>
    </r>
  </si>
  <si>
    <t>Two approaches</t>
  </si>
  <si>
    <t xml:space="preserve"> One  approach</t>
  </si>
  <si>
    <t>Three approaches</t>
  </si>
  <si>
    <t>Four approaches</t>
  </si>
  <si>
    <r>
      <t xml:space="preserve">Number of approaches with left-turn lanes </t>
    </r>
    <r>
      <rPr>
        <b/>
        <vertAlign val="superscript"/>
        <sz val="10"/>
        <rFont val="Arial"/>
        <family val="2"/>
      </rPr>
      <t>a</t>
    </r>
  </si>
  <si>
    <r>
      <t xml:space="preserve">Number of approaches with right-turn lanes </t>
    </r>
    <r>
      <rPr>
        <b/>
        <vertAlign val="superscript"/>
        <sz val="10"/>
        <rFont val="Arial"/>
        <family val="2"/>
      </rPr>
      <t>a</t>
    </r>
  </si>
  <si>
    <r>
      <t xml:space="preserve">a </t>
    </r>
    <r>
      <rPr>
        <sz val="8"/>
        <rFont val="Arial"/>
        <family val="2"/>
      </rPr>
      <t>STOP-controlled approaches are not considered in determining the number of approaches with right-turn lanes.</t>
    </r>
  </si>
  <si>
    <t>Itype2</t>
  </si>
  <si>
    <t>Phasing</t>
  </si>
  <si>
    <t>Protected</t>
  </si>
  <si>
    <t>Protected / Permissive</t>
  </si>
  <si>
    <t>Permissive / Protected</t>
  </si>
  <si>
    <t>Data for signalized intersections only:</t>
  </si>
  <si>
    <t>UnsigApproach</t>
  </si>
  <si>
    <t>Phasing2</t>
  </si>
  <si>
    <t>Not Applicable</t>
  </si>
  <si>
    <t>Leg #4 CMF:</t>
  </si>
  <si>
    <t>Composite Value:</t>
  </si>
  <si>
    <t>from Equation 12-21</t>
  </si>
  <si>
    <t>from Eqn. 12-24; (FI) from Eqn. 12-24 or 12-27</t>
  </si>
  <si>
    <t>from Equation 12-29</t>
  </si>
  <si>
    <t>Segment 1</t>
  </si>
  <si>
    <t>Collision type / Site type</t>
  </si>
  <si>
    <t>Multiple-vehicle nondriveway</t>
  </si>
  <si>
    <t>Multiple-vehicle driveway-related</t>
  </si>
  <si>
    <t>Worksheet 3A -- Predicted Crashes by Severity and Site Type and Observed Crashes Using the Site-Specific EB Method for Urban and Suburban Arterials</t>
  </si>
  <si>
    <t>Worksheet 3B -- Predicted Pedestrian and Bicycle Crashes for Urban and Suburban Arterials</t>
  </si>
  <si>
    <t>Site Type</t>
  </si>
  <si>
    <t>Worksheet 3C -- Site-Specific EB Method Summary Results for Urban and Suburban Arterials</t>
  </si>
  <si>
    <t>Calculations for CMF for Roadside Fixed Objects</t>
  </si>
  <si>
    <t>Nighttime crash Proportion for CMF for Lighting</t>
  </si>
  <si>
    <t>Table 12-3: SPF Coefficients for Multiple-Vehicle Nondriveway Collisions on Roadway Segments</t>
  </si>
  <si>
    <t>Note:  HSM-Provided values based on HSIS data for Washington (2002-2006)</t>
  </si>
  <si>
    <t>Table 12-4: Distribution of Multiple-Vehicle Nondriveway Collisions for Roadway Segments by Manner of Collision Type</t>
  </si>
  <si>
    <t>Table 12-5: SPF Coefficients for Single-Vehicle Collisions on Roadway Segments</t>
  </si>
  <si>
    <t>Table 12-6: Distribution of Single-Vehicle Collisions for Roadway Segments by Collision Type</t>
  </si>
  <si>
    <t>Table 12-7: SPF Coefficients for Multiple-Vehicle Driveway Related Collisions</t>
  </si>
  <si>
    <t>Table 12-8: Pedestrian Crash Adjustment Factor for Roadway Segments</t>
  </si>
  <si>
    <t>Table 12-9: Bicycle Crash Adjustment Factor for Roadway Segments</t>
  </si>
  <si>
    <t>Table 12-10: SPF Coefficients for Multiple-Vehicle Collisions at Intersections</t>
  </si>
  <si>
    <t>Note:  HSM-Provided values based on HSIS data for California (2002-2006)</t>
  </si>
  <si>
    <t>Table 12-11: Distribution of Multiple-Vehicle Collisions for Intersections by Collision Type</t>
  </si>
  <si>
    <t>Table 12-12: SPF Coefficients for Single-Vehicle Crashes at Intersections</t>
  </si>
  <si>
    <t>Source: HSM-Provided values base on HSIS data for California (2002-2006)</t>
  </si>
  <si>
    <t>Table 12-13: Distribution of Single-Vehicle Crashes for Intersections by Collision Type</t>
  </si>
  <si>
    <t>Table 12-14: SPF for Vehicle-Pedestrian Collisions at Signalized Intersections</t>
  </si>
  <si>
    <r>
      <t>Table 12-19: Values of f</t>
    </r>
    <r>
      <rPr>
        <b/>
        <vertAlign val="subscript"/>
        <sz val="10"/>
        <rFont val="Arial"/>
        <family val="2"/>
      </rPr>
      <t>pk</t>
    </r>
    <r>
      <rPr>
        <b/>
        <sz val="10"/>
        <rFont val="Arial"/>
        <family val="2"/>
      </rPr>
      <t xml:space="preserve"> Used in Determing the CMF for On-Street Parking</t>
    </r>
  </si>
  <si>
    <t>Table 12-20: Fixed-Object Offset Factor</t>
  </si>
  <si>
    <t>Table 12-21: Proportion of Fixed-Object Collisions</t>
  </si>
  <si>
    <r>
      <t>Table 12-22: CMFs for Median Widths on Divided Roadway Segments without a Median Barrier (CMF</t>
    </r>
    <r>
      <rPr>
        <b/>
        <vertAlign val="subscript"/>
        <sz val="10"/>
        <rFont val="Arial"/>
        <family val="2"/>
      </rPr>
      <t>3r</t>
    </r>
    <r>
      <rPr>
        <b/>
        <sz val="10"/>
        <rFont val="Arial"/>
        <family val="2"/>
      </rPr>
      <t>)</t>
    </r>
  </si>
  <si>
    <t>Table 12-23: Nighttime Crash Proportions for Unlighted Roadway Segments</t>
  </si>
  <si>
    <r>
      <t>Table 12-24: Crash Modification Factor (CMF</t>
    </r>
    <r>
      <rPr>
        <b/>
        <vertAlign val="subscript"/>
        <sz val="10"/>
        <rFont val="Arial"/>
        <family val="2"/>
      </rPr>
      <t>1i</t>
    </r>
    <r>
      <rPr>
        <b/>
        <sz val="10"/>
        <rFont val="Arial"/>
        <family val="2"/>
      </rPr>
      <t>) for Installation of Left-Turn Lanes on Intersection Approaches</t>
    </r>
  </si>
  <si>
    <r>
      <t>Table 12-26: Crash Modification Factor (CMF</t>
    </r>
    <r>
      <rPr>
        <b/>
        <vertAlign val="subscript"/>
        <sz val="10"/>
        <rFont val="Arial"/>
        <family val="2"/>
      </rPr>
      <t>3i</t>
    </r>
    <r>
      <rPr>
        <b/>
        <sz val="10"/>
        <rFont val="Arial"/>
        <family val="2"/>
      </rPr>
      <t>) for Installation of Right-Turn Lanes on Intersection Approaches</t>
    </r>
  </si>
  <si>
    <t>Table 12-27: Nighttime Crash Proportions for Unlighted Intersections</t>
  </si>
  <si>
    <t>from Table 12-22</t>
  </si>
  <si>
    <t>from Table 12-3</t>
  </si>
  <si>
    <t>from Table 12-4</t>
  </si>
  <si>
    <t>from Table 12-5</t>
  </si>
  <si>
    <t>from Table 12-6</t>
  </si>
  <si>
    <t>from Table 12-7</t>
  </si>
  <si>
    <t>from Table 12-8</t>
  </si>
  <si>
    <t>from Table 12-9</t>
  </si>
  <si>
    <t>from Table 12-24</t>
  </si>
  <si>
    <t>from Table 12-25</t>
  </si>
  <si>
    <t>from Table 12-26</t>
  </si>
  <si>
    <t>from Table 12-10</t>
  </si>
  <si>
    <t>from Table 12-11</t>
  </si>
  <si>
    <t>from Table 12-12</t>
  </si>
  <si>
    <t>from Table 12-13</t>
  </si>
  <si>
    <t>from Table 12-16</t>
  </si>
  <si>
    <t>from Table 12-28</t>
  </si>
  <si>
    <t>from Table 12-29</t>
  </si>
  <si>
    <t>from Table 12-30</t>
  </si>
  <si>
    <t>from Table 12-14</t>
  </si>
  <si>
    <t>from Table 12-17</t>
  </si>
  <si>
    <t>(veh/day)</t>
  </si>
  <si>
    <t>Project Element</t>
  </si>
  <si>
    <t>Date Completed</t>
  </si>
  <si>
    <t>Project Name</t>
  </si>
  <si>
    <t>Project Description</t>
  </si>
  <si>
    <t>Agency/Company</t>
  </si>
  <si>
    <t>Reference Number</t>
  </si>
  <si>
    <t>Contact Email</t>
  </si>
  <si>
    <t>Contact Phone</t>
  </si>
  <si>
    <t>(KABCO)</t>
  </si>
  <si>
    <t>(KABC)</t>
  </si>
  <si>
    <t>(PDO)</t>
  </si>
  <si>
    <t>Total Crashes/yr</t>
  </si>
  <si>
    <t>Predicted average crash frequency</t>
  </si>
  <si>
    <t xml:space="preserve">Expected average crash frequency </t>
  </si>
  <si>
    <t xml:space="preserve">Potential for Improvement </t>
  </si>
  <si>
    <t>Expected average crash frequency</t>
  </si>
  <si>
    <t>Fatal and Injury Crashes/yr</t>
  </si>
  <si>
    <t>Property Damage Only Crashes/yr</t>
  </si>
  <si>
    <t>Potential for Improvement</t>
  </si>
  <si>
    <t>INDIVIDUAL INTERSECTIONS</t>
  </si>
  <si>
    <t>INDIVIDUAL SEGMENTS</t>
  </si>
  <si>
    <t>LOCATION INFORMATION</t>
  </si>
  <si>
    <t>JURISDICTION</t>
  </si>
  <si>
    <t>ANALYSIS YEAR</t>
  </si>
  <si>
    <t>INDIVIDUAL PROJECT ELEMENTS</t>
  </si>
  <si>
    <t>KABCO</t>
  </si>
  <si>
    <t>KABC</t>
  </si>
  <si>
    <t>SEGMENTS</t>
  </si>
  <si>
    <t>PROJECT SUMMARY</t>
  </si>
  <si>
    <t>email</t>
  </si>
  <si>
    <t>Total Crashes</t>
  </si>
  <si>
    <t>Fatal and injury (KABC)</t>
  </si>
  <si>
    <t>Total (KABCO)</t>
  </si>
  <si>
    <t>Discussion of Results</t>
  </si>
  <si>
    <t>Summary for the project element</t>
  </si>
  <si>
    <t>Special Note: When the project element is not included in the analysis the results will all be zeros. In addition if only the analysis only includes determining the predicted average crash frequency (i.e. EB analysis is not carried out), the results will show zero values where EB results are usually displayed.</t>
  </si>
  <si>
    <t>Potential for Safety Improvement (anticipated average crashes/yr)</t>
  </si>
  <si>
    <t>Predicted average crash frequency - Average safety performance of projects consisting of similar elements (anticipated average crashes/yr)</t>
  </si>
  <si>
    <t>Expected average crash frequency - Actual long-term safety performance of the project (anticipated average crashes/yr)</t>
  </si>
  <si>
    <t>John Smith</t>
  </si>
  <si>
    <t>ABC Company</t>
  </si>
  <si>
    <t>STARS Report A-1</t>
  </si>
  <si>
    <t>Leg #1 CMF:</t>
  </si>
  <si>
    <t>Leg #2 CMF:</t>
  </si>
  <si>
    <t>Leg #3 CMF:</t>
  </si>
  <si>
    <t>PROJECT SAFETY PERFORMANCE SUMMARY REPORT</t>
  </si>
  <si>
    <t>Practical Case Study</t>
  </si>
  <si>
    <t>Three Signalized Intersections</t>
  </si>
  <si>
    <t>MV</t>
  </si>
  <si>
    <t>SV</t>
  </si>
  <si>
    <t>VPED</t>
  </si>
  <si>
    <t>VBICYCLE</t>
  </si>
  <si>
    <t>L162</t>
  </si>
  <si>
    <t>F162</t>
  </si>
  <si>
    <t>I162</t>
  </si>
  <si>
    <t>L172</t>
  </si>
  <si>
    <t>F172</t>
  </si>
  <si>
    <t>I172</t>
  </si>
  <si>
    <t>N135</t>
  </si>
  <si>
    <t>M146</t>
  </si>
  <si>
    <t xml:space="preserve">           Multiple vehicle crashes</t>
  </si>
  <si>
    <t>Fatal and Injury Only</t>
  </si>
  <si>
    <t>Property Damage Only</t>
  </si>
  <si>
    <t xml:space="preserve">           Multiple vehicle nondriveway crashes</t>
  </si>
  <si>
    <t xml:space="preserve">           Multiple vehicle driveway crashes</t>
  </si>
  <si>
    <t>PROJECT SAFETY PERFORMANCE ANALYSIS INPUT SHEET</t>
  </si>
  <si>
    <t># of Segments in Analysis</t>
  </si>
  <si>
    <t># of Intersections in Analysis</t>
  </si>
  <si>
    <t>DETERMINING FOR PROJECT ELEMENT:</t>
  </si>
  <si>
    <t>Route</t>
  </si>
  <si>
    <t>Location Description</t>
  </si>
  <si>
    <t>WORKSHEET 1A -- GENERAL INFORMATION AND INPUT DATA FOR URBAN AND SUBURBAN ROADWAY SEGMENTS</t>
  </si>
  <si>
    <t>Segment for Analysis</t>
  </si>
  <si>
    <t>WORKSHEET 1B -- CRASH MODIFICATION FACTORS FOR URBAN AND SUBURBAN ROADWAY SEGMENTS</t>
  </si>
  <si>
    <t>WORKSHEET 1C -- MULTIPLE-VEHICLE NONDRIVEWAY COLLISIONS BY SEVERITY LEVEL FOR URBAN AND SUBURBAN ROADWAY SEGMENTS</t>
  </si>
  <si>
    <t>WORKSHEET 1D -- MULTIPLE-VEHICLE NONDRIVEWAY COLLISIONS BY COLLISION TYPE FOR URBAN AND SUBURBAN ROADWAY SEGMENTS</t>
  </si>
  <si>
    <t>WORKSHEET 1E -- SINGLE-VEHICLE COLLISIONS BY SEVERITY LEVEL FOR URBAN AND SUBURBAN ROADWAY SEGMENTS</t>
  </si>
  <si>
    <t>WORKSHEET 1F -- SINGLE-VEHICLE COLLISIONS BY COLLISION TYPE FOR URBAN AND SUBURBAN ROADWAY SEGMENTS</t>
  </si>
  <si>
    <t>WORKSHEET 1G -- MULTIPLE-VEHICLE DRIVEWAY-RELATED COLLISIONS BY DRIVEWAY TYPE FOR URBAN AND SUBURBAN ROADWAY SEGMENTS</t>
  </si>
  <si>
    <t>WORKSHEET 1H -- MULTIPLE-VEHICLE DRIVEWAY-RELATED COLLISIONS BY SEVERITY LEVEL FOR URBAN AND SUBURBAN ROADWAY SEGMENTS</t>
  </si>
  <si>
    <t>WORKSHEET 1I -- VEHICLE-PEDESTRIAN COLLISIONS FOR URBAN AND SUBURBAN ROADWAY SEGMENTS</t>
  </si>
  <si>
    <t>WORKSHEET 1J -- VEHICLE-BICYCLE COLLISIONS FOR URBAN AND SUBURBAN ROADWAY SEGMENTS</t>
  </si>
  <si>
    <t>WORKSHEET 1K -- CRASH SEVERITY DISTRIBUTION FOR URBAN AND SUBURBAN ROADWAY SEGMENTS</t>
  </si>
  <si>
    <t>WORKSHEET 1L -- SUMMARY RESULTS FOR URBAN AND SUBURBAN ROADWAY SEGMENTS</t>
  </si>
  <si>
    <r>
      <t>N</t>
    </r>
    <r>
      <rPr>
        <vertAlign val="subscript"/>
        <sz val="10"/>
        <rFont val="Calibri"/>
        <family val="2"/>
        <scheme val="minor"/>
      </rPr>
      <t>predicted (KABCO)</t>
    </r>
  </si>
  <si>
    <r>
      <t>N</t>
    </r>
    <r>
      <rPr>
        <vertAlign val="subscript"/>
        <sz val="10"/>
        <rFont val="Calibri"/>
        <family val="2"/>
        <scheme val="minor"/>
      </rPr>
      <t>expected (KABCO)</t>
    </r>
  </si>
  <si>
    <r>
      <t>N</t>
    </r>
    <r>
      <rPr>
        <vertAlign val="subscript"/>
        <sz val="10"/>
        <rFont val="Calibri"/>
        <family val="2"/>
        <scheme val="minor"/>
      </rPr>
      <t>predicted (KABC)</t>
    </r>
  </si>
  <si>
    <r>
      <t>N</t>
    </r>
    <r>
      <rPr>
        <vertAlign val="subscript"/>
        <sz val="10"/>
        <rFont val="Calibri"/>
        <family val="2"/>
        <scheme val="minor"/>
      </rPr>
      <t>expected (KABC)</t>
    </r>
  </si>
  <si>
    <r>
      <t>N</t>
    </r>
    <r>
      <rPr>
        <vertAlign val="subscript"/>
        <sz val="10"/>
        <rFont val="Calibri"/>
        <family val="2"/>
        <scheme val="minor"/>
      </rPr>
      <t>predicted (O)</t>
    </r>
  </si>
  <si>
    <r>
      <t>N</t>
    </r>
    <r>
      <rPr>
        <vertAlign val="subscript"/>
        <sz val="10"/>
        <rFont val="Calibri"/>
        <family val="2"/>
        <scheme val="minor"/>
      </rPr>
      <t>expected (O)</t>
    </r>
  </si>
  <si>
    <r>
      <t>f</t>
    </r>
    <r>
      <rPr>
        <vertAlign val="subscript"/>
        <sz val="10"/>
        <rFont val="Calibri"/>
        <family val="2"/>
        <scheme val="minor"/>
      </rPr>
      <t>offset</t>
    </r>
  </si>
  <si>
    <r>
      <t>p</t>
    </r>
    <r>
      <rPr>
        <vertAlign val="subscript"/>
        <sz val="10"/>
        <rFont val="Calibri"/>
        <family val="2"/>
        <scheme val="minor"/>
      </rPr>
      <t>inr</t>
    </r>
    <r>
      <rPr>
        <sz val="10"/>
        <rFont val="Calibri"/>
        <family val="2"/>
        <scheme val="minor"/>
      </rPr>
      <t>:</t>
    </r>
  </si>
  <si>
    <r>
      <t>Calculated CMF</t>
    </r>
    <r>
      <rPr>
        <vertAlign val="subscript"/>
        <sz val="10"/>
        <rFont val="Calibri"/>
        <family val="2"/>
        <scheme val="minor"/>
      </rPr>
      <t>2r</t>
    </r>
  </si>
  <si>
    <r>
      <t>p</t>
    </r>
    <r>
      <rPr>
        <vertAlign val="subscript"/>
        <sz val="10"/>
        <rFont val="Calibri"/>
        <family val="2"/>
        <scheme val="minor"/>
      </rPr>
      <t>pnr</t>
    </r>
    <r>
      <rPr>
        <sz val="10"/>
        <rFont val="Calibri"/>
        <family val="2"/>
        <scheme val="minor"/>
      </rPr>
      <t>:</t>
    </r>
  </si>
  <si>
    <r>
      <t>Adjusted CMF</t>
    </r>
    <r>
      <rPr>
        <vertAlign val="subscript"/>
        <sz val="10"/>
        <rFont val="Calibri"/>
        <family val="2"/>
        <scheme val="minor"/>
      </rPr>
      <t>2r</t>
    </r>
  </si>
  <si>
    <r>
      <t>p</t>
    </r>
    <r>
      <rPr>
        <vertAlign val="subscript"/>
        <sz val="10"/>
        <rFont val="Calibri"/>
        <family val="2"/>
        <scheme val="minor"/>
      </rPr>
      <t>nr</t>
    </r>
    <r>
      <rPr>
        <sz val="10"/>
        <rFont val="Calibri"/>
        <family val="2"/>
        <scheme val="minor"/>
      </rPr>
      <t>:</t>
    </r>
  </si>
  <si>
    <r>
      <t>AADT</t>
    </r>
    <r>
      <rPr>
        <vertAlign val="subscript"/>
        <sz val="10"/>
        <rFont val="Calibri"/>
        <family val="2"/>
        <scheme val="minor"/>
      </rPr>
      <t>MAX</t>
    </r>
    <r>
      <rPr>
        <sz val="10"/>
        <rFont val="Calibri"/>
        <family val="2"/>
        <scheme val="minor"/>
      </rPr>
      <t xml:space="preserve"> =</t>
    </r>
  </si>
  <si>
    <r>
      <t>Initial N</t>
    </r>
    <r>
      <rPr>
        <b/>
        <vertAlign val="subscript"/>
        <sz val="10"/>
        <rFont val="Calibri"/>
        <family val="2"/>
        <scheme val="minor"/>
      </rPr>
      <t>brmv</t>
    </r>
  </si>
  <si>
    <r>
      <t>Adjusted N</t>
    </r>
    <r>
      <rPr>
        <b/>
        <vertAlign val="subscript"/>
        <sz val="10"/>
        <rFont val="Calibri"/>
        <family val="2"/>
        <scheme val="minor"/>
      </rPr>
      <t>brmv</t>
    </r>
  </si>
  <si>
    <r>
      <t>Predicted N</t>
    </r>
    <r>
      <rPr>
        <b/>
        <vertAlign val="subscript"/>
        <sz val="10"/>
        <rFont val="Calibri"/>
        <family val="2"/>
        <scheme val="minor"/>
      </rPr>
      <t>brmv</t>
    </r>
  </si>
  <si>
    <r>
      <t>(4)</t>
    </r>
    <r>
      <rPr>
        <vertAlign val="subscript"/>
        <sz val="10"/>
        <rFont val="Calibri"/>
        <family val="2"/>
        <scheme val="minor"/>
      </rPr>
      <t>TOTAL</t>
    </r>
    <r>
      <rPr>
        <sz val="10"/>
        <rFont val="Calibri"/>
        <family val="2"/>
        <scheme val="minor"/>
      </rPr>
      <t>*(5)</t>
    </r>
  </si>
  <si>
    <r>
      <t>(4)</t>
    </r>
    <r>
      <rPr>
        <vertAlign val="subscript"/>
        <sz val="10"/>
        <rFont val="Calibri"/>
        <family val="2"/>
        <scheme val="minor"/>
      </rPr>
      <t>FI</t>
    </r>
    <r>
      <rPr>
        <sz val="10"/>
        <rFont val="Calibri"/>
        <family val="2"/>
        <scheme val="minor"/>
      </rPr>
      <t>/((4)</t>
    </r>
    <r>
      <rPr>
        <vertAlign val="subscript"/>
        <sz val="10"/>
        <rFont val="Calibri"/>
        <family val="2"/>
        <scheme val="minor"/>
      </rPr>
      <t>FI</t>
    </r>
    <r>
      <rPr>
        <sz val="10"/>
        <rFont val="Calibri"/>
        <family val="2"/>
        <scheme val="minor"/>
      </rPr>
      <t>+(4)</t>
    </r>
    <r>
      <rPr>
        <vertAlign val="subscript"/>
        <sz val="10"/>
        <rFont val="Calibri"/>
        <family val="2"/>
        <scheme val="minor"/>
      </rPr>
      <t>PDO</t>
    </r>
    <r>
      <rPr>
        <sz val="10"/>
        <rFont val="Calibri"/>
        <family val="2"/>
        <scheme val="minor"/>
      </rPr>
      <t>)</t>
    </r>
  </si>
  <si>
    <r>
      <t>(5)</t>
    </r>
    <r>
      <rPr>
        <vertAlign val="subscript"/>
        <sz val="10"/>
        <rFont val="Calibri"/>
        <family val="2"/>
        <scheme val="minor"/>
      </rPr>
      <t>TOTAL</t>
    </r>
    <r>
      <rPr>
        <sz val="10"/>
        <rFont val="Calibri"/>
        <family val="2"/>
        <scheme val="minor"/>
      </rPr>
      <t>-(5)</t>
    </r>
    <r>
      <rPr>
        <vertAlign val="subscript"/>
        <sz val="10"/>
        <rFont val="Calibri"/>
        <family val="2"/>
        <scheme val="minor"/>
      </rPr>
      <t>FI</t>
    </r>
  </si>
  <si>
    <r>
      <t>Proportion of Collision Type</t>
    </r>
    <r>
      <rPr>
        <b/>
        <sz val="6"/>
        <rFont val="Calibri"/>
        <family val="2"/>
        <scheme val="minor"/>
      </rPr>
      <t>(FI)</t>
    </r>
  </si>
  <si>
    <r>
      <t xml:space="preserve">Predicted N </t>
    </r>
    <r>
      <rPr>
        <b/>
        <i/>
        <sz val="6"/>
        <rFont val="Calibri"/>
        <family val="2"/>
        <scheme val="minor"/>
      </rPr>
      <t>brmv</t>
    </r>
    <r>
      <rPr>
        <b/>
        <sz val="6"/>
        <rFont val="Calibri"/>
        <family val="2"/>
        <scheme val="minor"/>
      </rPr>
      <t xml:space="preserve"> (FI)</t>
    </r>
    <r>
      <rPr>
        <b/>
        <sz val="10"/>
        <rFont val="Calibri"/>
        <family val="2"/>
        <scheme val="minor"/>
      </rPr>
      <t xml:space="preserve"> (crashes/year)</t>
    </r>
  </si>
  <si>
    <r>
      <t xml:space="preserve">Proportion of Collision Type </t>
    </r>
    <r>
      <rPr>
        <b/>
        <vertAlign val="subscript"/>
        <sz val="10"/>
        <rFont val="Calibri"/>
        <family val="2"/>
        <scheme val="minor"/>
      </rPr>
      <t>(PDO)</t>
    </r>
  </si>
  <si>
    <r>
      <t xml:space="preserve">Predicted N </t>
    </r>
    <r>
      <rPr>
        <b/>
        <i/>
        <sz val="6"/>
        <rFont val="Calibri"/>
        <family val="2"/>
        <scheme val="minor"/>
      </rPr>
      <t>brmv</t>
    </r>
    <r>
      <rPr>
        <b/>
        <sz val="6"/>
        <rFont val="Calibri"/>
        <family val="2"/>
        <scheme val="minor"/>
      </rPr>
      <t xml:space="preserve"> (PDO)</t>
    </r>
    <r>
      <rPr>
        <b/>
        <sz val="10"/>
        <rFont val="Calibri"/>
        <family val="2"/>
        <scheme val="minor"/>
      </rPr>
      <t xml:space="preserve"> (crashes/year)</t>
    </r>
  </si>
  <si>
    <r>
      <t xml:space="preserve">Predicted N </t>
    </r>
    <r>
      <rPr>
        <b/>
        <i/>
        <vertAlign val="subscript"/>
        <sz val="10"/>
        <rFont val="Calibri"/>
        <family val="2"/>
        <scheme val="minor"/>
      </rPr>
      <t>brmv</t>
    </r>
    <r>
      <rPr>
        <b/>
        <vertAlign val="subscript"/>
        <sz val="10"/>
        <rFont val="Calibri"/>
        <family val="2"/>
        <scheme val="minor"/>
      </rPr>
      <t xml:space="preserve"> (TOTAL) </t>
    </r>
    <r>
      <rPr>
        <b/>
        <sz val="10"/>
        <rFont val="Calibri"/>
        <family val="2"/>
        <scheme val="minor"/>
      </rPr>
      <t>(crashes/year)</t>
    </r>
  </si>
  <si>
    <r>
      <t>(9)</t>
    </r>
    <r>
      <rPr>
        <sz val="6"/>
        <rFont val="Calibri"/>
        <family val="2"/>
        <scheme val="minor"/>
      </rPr>
      <t>FI</t>
    </r>
    <r>
      <rPr>
        <sz val="10"/>
        <rFont val="Calibri"/>
        <family val="2"/>
        <scheme val="minor"/>
      </rPr>
      <t xml:space="preserve"> from Worksheet 1C</t>
    </r>
  </si>
  <si>
    <r>
      <t>(9)</t>
    </r>
    <r>
      <rPr>
        <sz val="6"/>
        <rFont val="Calibri"/>
        <family val="2"/>
        <scheme val="minor"/>
      </rPr>
      <t>PDO</t>
    </r>
    <r>
      <rPr>
        <sz val="10"/>
        <rFont val="Calibri"/>
        <family val="2"/>
        <scheme val="minor"/>
      </rPr>
      <t xml:space="preserve"> from Worksheet 1C</t>
    </r>
  </si>
  <si>
    <r>
      <t>(9)</t>
    </r>
    <r>
      <rPr>
        <sz val="6"/>
        <rFont val="Calibri"/>
        <family val="2"/>
        <scheme val="minor"/>
      </rPr>
      <t>TOTAL</t>
    </r>
    <r>
      <rPr>
        <sz val="10"/>
        <rFont val="Calibri"/>
        <family val="2"/>
        <scheme val="minor"/>
      </rPr>
      <t xml:space="preserve"> from Worksheet 1C</t>
    </r>
  </si>
  <si>
    <r>
      <t>(2)*(3)</t>
    </r>
    <r>
      <rPr>
        <vertAlign val="subscript"/>
        <sz val="10"/>
        <rFont val="Calibri"/>
        <family val="2"/>
        <scheme val="minor"/>
      </rPr>
      <t>FI</t>
    </r>
  </si>
  <si>
    <r>
      <t>(4)*(5)</t>
    </r>
    <r>
      <rPr>
        <vertAlign val="subscript"/>
        <sz val="10"/>
        <rFont val="Calibri"/>
        <family val="2"/>
        <scheme val="minor"/>
      </rPr>
      <t>PDO</t>
    </r>
  </si>
  <si>
    <r>
      <t>Initial N</t>
    </r>
    <r>
      <rPr>
        <b/>
        <vertAlign val="subscript"/>
        <sz val="10"/>
        <rFont val="Calibri"/>
        <family val="2"/>
        <scheme val="minor"/>
      </rPr>
      <t>brsv</t>
    </r>
  </si>
  <si>
    <r>
      <t>Adjusted N</t>
    </r>
    <r>
      <rPr>
        <b/>
        <vertAlign val="subscript"/>
        <sz val="10"/>
        <rFont val="Calibri"/>
        <family val="2"/>
        <scheme val="minor"/>
      </rPr>
      <t>brsv</t>
    </r>
  </si>
  <si>
    <r>
      <t>Predicted N</t>
    </r>
    <r>
      <rPr>
        <b/>
        <vertAlign val="subscript"/>
        <sz val="10"/>
        <rFont val="Calibri"/>
        <family val="2"/>
        <scheme val="minor"/>
      </rPr>
      <t>brsv</t>
    </r>
  </si>
  <si>
    <r>
      <t xml:space="preserve">Predicted N </t>
    </r>
    <r>
      <rPr>
        <b/>
        <i/>
        <sz val="6"/>
        <rFont val="Calibri"/>
        <family val="2"/>
        <scheme val="minor"/>
      </rPr>
      <t>brsv</t>
    </r>
    <r>
      <rPr>
        <b/>
        <sz val="6"/>
        <rFont val="Calibri"/>
        <family val="2"/>
        <scheme val="minor"/>
      </rPr>
      <t xml:space="preserve"> (FI)</t>
    </r>
    <r>
      <rPr>
        <b/>
        <sz val="10"/>
        <rFont val="Calibri"/>
        <family val="2"/>
        <scheme val="minor"/>
      </rPr>
      <t xml:space="preserve"> (crashes/year)</t>
    </r>
  </si>
  <si>
    <r>
      <t xml:space="preserve">Predicted N </t>
    </r>
    <r>
      <rPr>
        <b/>
        <i/>
        <sz val="6"/>
        <rFont val="Calibri"/>
        <family val="2"/>
        <scheme val="minor"/>
      </rPr>
      <t>brsv</t>
    </r>
    <r>
      <rPr>
        <b/>
        <sz val="6"/>
        <rFont val="Calibri"/>
        <family val="2"/>
        <scheme val="minor"/>
      </rPr>
      <t xml:space="preserve"> (PDO)</t>
    </r>
    <r>
      <rPr>
        <b/>
        <sz val="10"/>
        <rFont val="Calibri"/>
        <family val="2"/>
        <scheme val="minor"/>
      </rPr>
      <t xml:space="preserve"> (crashes/year)</t>
    </r>
  </si>
  <si>
    <r>
      <t xml:space="preserve">Predicted N </t>
    </r>
    <r>
      <rPr>
        <b/>
        <i/>
        <vertAlign val="subscript"/>
        <sz val="10"/>
        <rFont val="Calibri"/>
        <family val="2"/>
        <scheme val="minor"/>
      </rPr>
      <t>brsv</t>
    </r>
    <r>
      <rPr>
        <b/>
        <vertAlign val="subscript"/>
        <sz val="10"/>
        <rFont val="Calibri"/>
        <family val="2"/>
        <scheme val="minor"/>
      </rPr>
      <t xml:space="preserve"> (TOTAL) </t>
    </r>
    <r>
      <rPr>
        <b/>
        <sz val="10"/>
        <rFont val="Calibri"/>
        <family val="2"/>
        <scheme val="minor"/>
      </rPr>
      <t>(crashes/year)</t>
    </r>
  </si>
  <si>
    <r>
      <t>(9)</t>
    </r>
    <r>
      <rPr>
        <sz val="6"/>
        <rFont val="Calibri"/>
        <family val="2"/>
        <scheme val="minor"/>
      </rPr>
      <t>FI</t>
    </r>
    <r>
      <rPr>
        <sz val="10"/>
        <rFont val="Calibri"/>
        <family val="2"/>
        <scheme val="minor"/>
      </rPr>
      <t xml:space="preserve"> from Worksheet 1E</t>
    </r>
  </si>
  <si>
    <r>
      <t>(9)</t>
    </r>
    <r>
      <rPr>
        <sz val="6"/>
        <rFont val="Calibri"/>
        <family val="2"/>
        <scheme val="minor"/>
      </rPr>
      <t>PDO</t>
    </r>
    <r>
      <rPr>
        <sz val="10"/>
        <rFont val="Calibri"/>
        <family val="2"/>
        <scheme val="minor"/>
      </rPr>
      <t xml:space="preserve"> from Worksheet 1E</t>
    </r>
  </si>
  <si>
    <r>
      <t>(9)</t>
    </r>
    <r>
      <rPr>
        <sz val="6"/>
        <rFont val="Calibri"/>
        <family val="2"/>
        <scheme val="minor"/>
      </rPr>
      <t>TOTAL</t>
    </r>
    <r>
      <rPr>
        <sz val="10"/>
        <rFont val="Calibri"/>
        <family val="2"/>
        <scheme val="minor"/>
      </rPr>
      <t xml:space="preserve"> from Worksheet 1E</t>
    </r>
  </si>
  <si>
    <r>
      <t xml:space="preserve">  Number of driveways,   n</t>
    </r>
    <r>
      <rPr>
        <b/>
        <vertAlign val="subscript"/>
        <sz val="10"/>
        <rFont val="Calibri"/>
        <family val="2"/>
        <scheme val="minor"/>
      </rPr>
      <t>j</t>
    </r>
  </si>
  <si>
    <r>
      <t>Crashes per driveway per year, N</t>
    </r>
    <r>
      <rPr>
        <b/>
        <vertAlign val="subscript"/>
        <sz val="10"/>
        <rFont val="Calibri"/>
        <family val="2"/>
        <scheme val="minor"/>
      </rPr>
      <t>j</t>
    </r>
  </si>
  <si>
    <r>
      <t>Initial N</t>
    </r>
    <r>
      <rPr>
        <b/>
        <vertAlign val="subscript"/>
        <sz val="10"/>
        <rFont val="Calibri"/>
        <family val="2"/>
        <scheme val="minor"/>
      </rPr>
      <t>brdwy</t>
    </r>
  </si>
  <si>
    <r>
      <t>n</t>
    </r>
    <r>
      <rPr>
        <vertAlign val="subscript"/>
        <sz val="10"/>
        <rFont val="Calibri"/>
        <family val="2"/>
        <scheme val="minor"/>
      </rPr>
      <t>j</t>
    </r>
    <r>
      <rPr>
        <sz val="10"/>
        <rFont val="Calibri"/>
        <family val="2"/>
        <scheme val="minor"/>
      </rPr>
      <t xml:space="preserve"> * N</t>
    </r>
    <r>
      <rPr>
        <vertAlign val="subscript"/>
        <sz val="10"/>
        <rFont val="Calibri"/>
        <family val="2"/>
        <scheme val="minor"/>
      </rPr>
      <t>j</t>
    </r>
    <r>
      <rPr>
        <sz val="10"/>
        <rFont val="Calibri"/>
        <family val="2"/>
        <scheme val="minor"/>
      </rPr>
      <t xml:space="preserve"> * (AADT/15,000)</t>
    </r>
    <r>
      <rPr>
        <vertAlign val="superscript"/>
        <sz val="10"/>
        <rFont val="Calibri"/>
        <family val="2"/>
        <scheme val="minor"/>
      </rPr>
      <t>t</t>
    </r>
  </si>
  <si>
    <r>
      <t>Proportion of total crashes (f</t>
    </r>
    <r>
      <rPr>
        <b/>
        <vertAlign val="subscript"/>
        <sz val="10"/>
        <rFont val="Calibri"/>
        <family val="2"/>
        <scheme val="minor"/>
      </rPr>
      <t>dwy</t>
    </r>
    <r>
      <rPr>
        <b/>
        <sz val="10"/>
        <rFont val="Calibri"/>
        <family val="2"/>
        <scheme val="minor"/>
      </rPr>
      <t>)</t>
    </r>
  </si>
  <si>
    <r>
      <t>Adjusted N</t>
    </r>
    <r>
      <rPr>
        <b/>
        <vertAlign val="subscript"/>
        <sz val="10"/>
        <rFont val="Calibri"/>
        <family val="2"/>
        <scheme val="minor"/>
      </rPr>
      <t>brdwy</t>
    </r>
  </si>
  <si>
    <r>
      <t>Calibration factor, C</t>
    </r>
    <r>
      <rPr>
        <b/>
        <vertAlign val="subscript"/>
        <sz val="10"/>
        <rFont val="Calibri"/>
        <family val="2"/>
        <scheme val="minor"/>
      </rPr>
      <t>r</t>
    </r>
  </si>
  <si>
    <r>
      <t>Predicted N</t>
    </r>
    <r>
      <rPr>
        <b/>
        <vertAlign val="subscript"/>
        <sz val="10"/>
        <rFont val="Calibri"/>
        <family val="2"/>
        <scheme val="minor"/>
      </rPr>
      <t>brdwy</t>
    </r>
  </si>
  <si>
    <r>
      <t>(5)</t>
    </r>
    <r>
      <rPr>
        <vertAlign val="subscript"/>
        <sz val="10"/>
        <rFont val="Calibri"/>
        <family val="2"/>
        <scheme val="minor"/>
      </rPr>
      <t>TOTAL</t>
    </r>
    <r>
      <rPr>
        <sz val="10"/>
        <rFont val="Calibri"/>
        <family val="2"/>
        <scheme val="minor"/>
      </rPr>
      <t xml:space="preserve"> from Worksheet 1G</t>
    </r>
  </si>
  <si>
    <r>
      <t>(2)</t>
    </r>
    <r>
      <rPr>
        <vertAlign val="subscript"/>
        <sz val="10"/>
        <rFont val="Calibri"/>
        <family val="2"/>
        <scheme val="minor"/>
      </rPr>
      <t>TOTAL</t>
    </r>
    <r>
      <rPr>
        <sz val="10"/>
        <rFont val="Calibri"/>
        <family val="2"/>
        <scheme val="minor"/>
      </rPr>
      <t xml:space="preserve"> * (3)</t>
    </r>
  </si>
  <si>
    <r>
      <t>Predicted N</t>
    </r>
    <r>
      <rPr>
        <b/>
        <vertAlign val="subscript"/>
        <sz val="10"/>
        <rFont val="Calibri"/>
        <family val="2"/>
        <scheme val="minor"/>
      </rPr>
      <t>br</t>
    </r>
  </si>
  <si>
    <r>
      <t>f</t>
    </r>
    <r>
      <rPr>
        <b/>
        <vertAlign val="subscript"/>
        <sz val="10"/>
        <rFont val="Calibri"/>
        <family val="2"/>
        <scheme val="minor"/>
      </rPr>
      <t>pedr</t>
    </r>
  </si>
  <si>
    <r>
      <t>Predicted N</t>
    </r>
    <r>
      <rPr>
        <b/>
        <vertAlign val="subscript"/>
        <sz val="10"/>
        <rFont val="Calibri"/>
        <family val="2"/>
        <scheme val="minor"/>
      </rPr>
      <t>pedr</t>
    </r>
  </si>
  <si>
    <r>
      <t>f</t>
    </r>
    <r>
      <rPr>
        <b/>
        <vertAlign val="subscript"/>
        <sz val="10"/>
        <rFont val="Calibri"/>
        <family val="2"/>
        <scheme val="minor"/>
      </rPr>
      <t>biker</t>
    </r>
  </si>
  <si>
    <r>
      <t>Predicted N</t>
    </r>
    <r>
      <rPr>
        <b/>
        <vertAlign val="subscript"/>
        <sz val="10"/>
        <rFont val="Calibri"/>
        <family val="2"/>
        <scheme val="minor"/>
      </rPr>
      <t>biker</t>
    </r>
  </si>
  <si>
    <t>WORKSHEET 2A -- GENERAL INFORMATION AND INPUT DATA FOR URBAN AND SUBURBAN ARTERIAL INTERSECTIONS</t>
  </si>
  <si>
    <r>
      <t>Calculations for CMF</t>
    </r>
    <r>
      <rPr>
        <b/>
        <u val="single"/>
        <vertAlign val="subscript"/>
        <sz val="10"/>
        <rFont val="Calibri"/>
        <family val="2"/>
        <scheme val="minor"/>
      </rPr>
      <t>2i</t>
    </r>
  </si>
  <si>
    <r>
      <t xml:space="preserve">AADT </t>
    </r>
    <r>
      <rPr>
        <vertAlign val="subscript"/>
        <sz val="10"/>
        <rFont val="Calibri"/>
        <family val="2"/>
        <scheme val="minor"/>
      </rPr>
      <t>major</t>
    </r>
    <r>
      <rPr>
        <sz val="10"/>
        <rFont val="Calibri"/>
        <family val="2"/>
        <scheme val="minor"/>
      </rPr>
      <t xml:space="preserve"> (veh/day) (total entering on major approaches)*</t>
    </r>
  </si>
  <si>
    <r>
      <t>Calibration factor, C</t>
    </r>
    <r>
      <rPr>
        <vertAlign val="subscript"/>
        <sz val="10"/>
        <rFont val="Calibri"/>
        <family val="2"/>
        <scheme val="minor"/>
      </rPr>
      <t>i</t>
    </r>
  </si>
  <si>
    <r>
      <t>Calculations for CMF</t>
    </r>
    <r>
      <rPr>
        <b/>
        <u val="single"/>
        <vertAlign val="subscript"/>
        <sz val="10"/>
        <rFont val="Calibri"/>
        <family val="2"/>
        <scheme val="minor"/>
      </rPr>
      <t>6i</t>
    </r>
  </si>
  <si>
    <r>
      <t>p</t>
    </r>
    <r>
      <rPr>
        <vertAlign val="subscript"/>
        <sz val="10"/>
        <rFont val="Calibri"/>
        <family val="2"/>
        <scheme val="minor"/>
      </rPr>
      <t xml:space="preserve">ramv(FI) </t>
    </r>
    <r>
      <rPr>
        <sz val="10"/>
        <rFont val="Calibri"/>
        <family val="2"/>
        <scheme val="minor"/>
      </rPr>
      <t>:</t>
    </r>
  </si>
  <si>
    <r>
      <t>p</t>
    </r>
    <r>
      <rPr>
        <vertAlign val="subscript"/>
        <sz val="10"/>
        <rFont val="Calibri"/>
        <family val="2"/>
        <scheme val="minor"/>
      </rPr>
      <t xml:space="preserve">remv(FI) </t>
    </r>
    <r>
      <rPr>
        <sz val="10"/>
        <rFont val="Calibri"/>
        <family val="2"/>
        <scheme val="minor"/>
      </rPr>
      <t>:</t>
    </r>
  </si>
  <si>
    <r>
      <t>p</t>
    </r>
    <r>
      <rPr>
        <vertAlign val="subscript"/>
        <sz val="10"/>
        <rFont val="Calibri"/>
        <family val="2"/>
        <scheme val="minor"/>
      </rPr>
      <t xml:space="preserve">ramv(PDO) </t>
    </r>
    <r>
      <rPr>
        <sz val="10"/>
        <rFont val="Calibri"/>
        <family val="2"/>
        <scheme val="minor"/>
      </rPr>
      <t>:</t>
    </r>
  </si>
  <si>
    <r>
      <t>p</t>
    </r>
    <r>
      <rPr>
        <vertAlign val="subscript"/>
        <sz val="10"/>
        <rFont val="Calibri"/>
        <family val="2"/>
        <scheme val="minor"/>
      </rPr>
      <t xml:space="preserve">remv(PDO) </t>
    </r>
    <r>
      <rPr>
        <sz val="10"/>
        <rFont val="Calibri"/>
        <family val="2"/>
        <scheme val="minor"/>
      </rPr>
      <t>:</t>
    </r>
  </si>
  <si>
    <r>
      <t>N</t>
    </r>
    <r>
      <rPr>
        <vertAlign val="subscript"/>
        <sz val="10"/>
        <rFont val="Calibri"/>
        <family val="2"/>
        <scheme val="minor"/>
      </rPr>
      <t>bimv(FI)</t>
    </r>
    <r>
      <rPr>
        <sz val="10"/>
        <rFont val="Calibri"/>
        <family val="2"/>
        <scheme val="minor"/>
      </rPr>
      <t xml:space="preserve"> :</t>
    </r>
  </si>
  <si>
    <r>
      <t>N</t>
    </r>
    <r>
      <rPr>
        <vertAlign val="subscript"/>
        <sz val="10"/>
        <rFont val="Calibri"/>
        <family val="2"/>
        <scheme val="minor"/>
      </rPr>
      <t>bimv(PDO)</t>
    </r>
    <r>
      <rPr>
        <sz val="10"/>
        <rFont val="Calibri"/>
        <family val="2"/>
        <scheme val="minor"/>
      </rPr>
      <t xml:space="preserve"> :</t>
    </r>
  </si>
  <si>
    <r>
      <t>N</t>
    </r>
    <r>
      <rPr>
        <vertAlign val="subscript"/>
        <sz val="10"/>
        <rFont val="Calibri"/>
        <family val="2"/>
        <scheme val="minor"/>
      </rPr>
      <t>bisv</t>
    </r>
    <r>
      <rPr>
        <sz val="10"/>
        <rFont val="Calibri"/>
        <family val="2"/>
        <scheme val="minor"/>
      </rPr>
      <t xml:space="preserve"> :</t>
    </r>
  </si>
  <si>
    <r>
      <t>p</t>
    </r>
    <r>
      <rPr>
        <vertAlign val="subscript"/>
        <sz val="10"/>
        <rFont val="Calibri"/>
        <family val="2"/>
        <scheme val="minor"/>
      </rPr>
      <t>ra</t>
    </r>
    <r>
      <rPr>
        <sz val="10"/>
        <rFont val="Calibri"/>
        <family val="2"/>
        <scheme val="minor"/>
      </rPr>
      <t xml:space="preserve"> :</t>
    </r>
  </si>
  <si>
    <r>
      <t>p</t>
    </r>
    <r>
      <rPr>
        <vertAlign val="subscript"/>
        <sz val="10"/>
        <rFont val="Calibri"/>
        <family val="2"/>
        <scheme val="minor"/>
      </rPr>
      <t>re</t>
    </r>
    <r>
      <rPr>
        <sz val="10"/>
        <rFont val="Calibri"/>
        <family val="2"/>
        <scheme val="minor"/>
      </rPr>
      <t xml:space="preserve"> :</t>
    </r>
  </si>
  <si>
    <r>
      <t>CMF</t>
    </r>
    <r>
      <rPr>
        <vertAlign val="subscript"/>
        <sz val="10"/>
        <rFont val="Calibri"/>
        <family val="2"/>
        <scheme val="minor"/>
      </rPr>
      <t>6i</t>
    </r>
    <r>
      <rPr>
        <sz val="10"/>
        <rFont val="Calibri"/>
        <family val="2"/>
        <scheme val="minor"/>
      </rPr>
      <t xml:space="preserve"> :</t>
    </r>
  </si>
  <si>
    <r>
      <t xml:space="preserve">CMF </t>
    </r>
    <r>
      <rPr>
        <i/>
        <vertAlign val="subscript"/>
        <sz val="10"/>
        <rFont val="Calibri"/>
        <family val="2"/>
        <scheme val="minor"/>
      </rPr>
      <t>COMB</t>
    </r>
  </si>
  <si>
    <r>
      <t>Initial N</t>
    </r>
    <r>
      <rPr>
        <b/>
        <vertAlign val="subscript"/>
        <sz val="10"/>
        <rFont val="Calibri"/>
        <family val="2"/>
        <scheme val="minor"/>
      </rPr>
      <t>bimv</t>
    </r>
  </si>
  <si>
    <r>
      <t>Adjusted N</t>
    </r>
    <r>
      <rPr>
        <b/>
        <vertAlign val="subscript"/>
        <sz val="10"/>
        <rFont val="Calibri"/>
        <family val="2"/>
        <scheme val="minor"/>
      </rPr>
      <t>bimv</t>
    </r>
  </si>
  <si>
    <r>
      <t>Calibration Factor, C</t>
    </r>
    <r>
      <rPr>
        <b/>
        <vertAlign val="subscript"/>
        <sz val="10"/>
        <rFont val="Calibri"/>
        <family val="2"/>
        <scheme val="minor"/>
      </rPr>
      <t>i</t>
    </r>
  </si>
  <si>
    <r>
      <t>Predicted N</t>
    </r>
    <r>
      <rPr>
        <b/>
        <vertAlign val="subscript"/>
        <sz val="10"/>
        <rFont val="Calibri"/>
        <family val="2"/>
        <scheme val="minor"/>
      </rPr>
      <t>bimv</t>
    </r>
  </si>
  <si>
    <r>
      <t xml:space="preserve">Predicted N </t>
    </r>
    <r>
      <rPr>
        <b/>
        <i/>
        <sz val="6"/>
        <rFont val="Calibri"/>
        <family val="2"/>
        <scheme val="minor"/>
      </rPr>
      <t>bimv</t>
    </r>
    <r>
      <rPr>
        <b/>
        <sz val="6"/>
        <rFont val="Calibri"/>
        <family val="2"/>
        <scheme val="minor"/>
      </rPr>
      <t xml:space="preserve"> (FI)</t>
    </r>
    <r>
      <rPr>
        <b/>
        <sz val="10"/>
        <rFont val="Calibri"/>
        <family val="2"/>
        <scheme val="minor"/>
      </rPr>
      <t xml:space="preserve"> (crashes/year)</t>
    </r>
  </si>
  <si>
    <r>
      <t xml:space="preserve">Predicted N </t>
    </r>
    <r>
      <rPr>
        <b/>
        <i/>
        <sz val="6"/>
        <rFont val="Calibri"/>
        <family val="2"/>
        <scheme val="minor"/>
      </rPr>
      <t>bimv</t>
    </r>
    <r>
      <rPr>
        <b/>
        <sz val="6"/>
        <rFont val="Calibri"/>
        <family val="2"/>
        <scheme val="minor"/>
      </rPr>
      <t xml:space="preserve"> (PDO)</t>
    </r>
    <r>
      <rPr>
        <b/>
        <sz val="10"/>
        <rFont val="Calibri"/>
        <family val="2"/>
        <scheme val="minor"/>
      </rPr>
      <t xml:space="preserve"> (crashes/year)</t>
    </r>
  </si>
  <si>
    <r>
      <t xml:space="preserve">Predicted N </t>
    </r>
    <r>
      <rPr>
        <b/>
        <i/>
        <vertAlign val="subscript"/>
        <sz val="10"/>
        <rFont val="Calibri"/>
        <family val="2"/>
        <scheme val="minor"/>
      </rPr>
      <t>bimv</t>
    </r>
    <r>
      <rPr>
        <b/>
        <vertAlign val="subscript"/>
        <sz val="10"/>
        <rFont val="Calibri"/>
        <family val="2"/>
        <scheme val="minor"/>
      </rPr>
      <t xml:space="preserve"> (TOTAL) </t>
    </r>
    <r>
      <rPr>
        <b/>
        <sz val="10"/>
        <rFont val="Calibri"/>
        <family val="2"/>
        <scheme val="minor"/>
      </rPr>
      <t>(crashes/year)</t>
    </r>
  </si>
  <si>
    <r>
      <t>(9)</t>
    </r>
    <r>
      <rPr>
        <sz val="6"/>
        <rFont val="Calibri"/>
        <family val="2"/>
        <scheme val="minor"/>
      </rPr>
      <t>FI</t>
    </r>
    <r>
      <rPr>
        <sz val="10"/>
        <rFont val="Calibri"/>
        <family val="2"/>
        <scheme val="minor"/>
      </rPr>
      <t xml:space="preserve"> from Worksheet 2C</t>
    </r>
  </si>
  <si>
    <r>
      <t>(9)</t>
    </r>
    <r>
      <rPr>
        <sz val="6"/>
        <rFont val="Calibri"/>
        <family val="2"/>
        <scheme val="minor"/>
      </rPr>
      <t>PDO</t>
    </r>
    <r>
      <rPr>
        <sz val="10"/>
        <rFont val="Calibri"/>
        <family val="2"/>
        <scheme val="minor"/>
      </rPr>
      <t xml:space="preserve"> from Worksheet 2C</t>
    </r>
  </si>
  <si>
    <r>
      <t>Initial N</t>
    </r>
    <r>
      <rPr>
        <b/>
        <vertAlign val="subscript"/>
        <sz val="10"/>
        <rFont val="Calibri"/>
        <family val="2"/>
        <scheme val="minor"/>
      </rPr>
      <t>bisv</t>
    </r>
  </si>
  <si>
    <r>
      <t>Predicted N</t>
    </r>
    <r>
      <rPr>
        <b/>
        <vertAlign val="subscript"/>
        <sz val="10"/>
        <rFont val="Calibri"/>
        <family val="2"/>
        <scheme val="minor"/>
      </rPr>
      <t>bisv</t>
    </r>
  </si>
  <si>
    <r>
      <t xml:space="preserve">Predicted N </t>
    </r>
    <r>
      <rPr>
        <b/>
        <i/>
        <sz val="6"/>
        <rFont val="Calibri"/>
        <family val="2"/>
        <scheme val="minor"/>
      </rPr>
      <t>bisv</t>
    </r>
    <r>
      <rPr>
        <b/>
        <sz val="6"/>
        <rFont val="Calibri"/>
        <family val="2"/>
        <scheme val="minor"/>
      </rPr>
      <t xml:space="preserve"> (FI)</t>
    </r>
    <r>
      <rPr>
        <b/>
        <sz val="10"/>
        <rFont val="Calibri"/>
        <family val="2"/>
        <scheme val="minor"/>
      </rPr>
      <t xml:space="preserve"> (crashes/year)</t>
    </r>
  </si>
  <si>
    <r>
      <t>Predicted N</t>
    </r>
    <r>
      <rPr>
        <b/>
        <i/>
        <sz val="10"/>
        <rFont val="Calibri"/>
        <family val="2"/>
        <scheme val="minor"/>
      </rPr>
      <t xml:space="preserve"> </t>
    </r>
    <r>
      <rPr>
        <b/>
        <i/>
        <sz val="6"/>
        <rFont val="Calibri"/>
        <family val="2"/>
        <scheme val="minor"/>
      </rPr>
      <t>bisv</t>
    </r>
    <r>
      <rPr>
        <b/>
        <sz val="6"/>
        <rFont val="Calibri"/>
        <family val="2"/>
        <scheme val="minor"/>
      </rPr>
      <t xml:space="preserve"> (PDO)</t>
    </r>
    <r>
      <rPr>
        <b/>
        <sz val="10"/>
        <rFont val="Calibri"/>
        <family val="2"/>
        <scheme val="minor"/>
      </rPr>
      <t xml:space="preserve"> (crashes/year)</t>
    </r>
  </si>
  <si>
    <r>
      <t xml:space="preserve">Predicted N </t>
    </r>
    <r>
      <rPr>
        <b/>
        <i/>
        <vertAlign val="subscript"/>
        <sz val="10"/>
        <rFont val="Calibri"/>
        <family val="2"/>
        <scheme val="minor"/>
      </rPr>
      <t>bisv</t>
    </r>
    <r>
      <rPr>
        <b/>
        <vertAlign val="subscript"/>
        <sz val="10"/>
        <rFont val="Calibri"/>
        <family val="2"/>
        <scheme val="minor"/>
      </rPr>
      <t xml:space="preserve"> (TOTAL) </t>
    </r>
    <r>
      <rPr>
        <b/>
        <sz val="10"/>
        <rFont val="Calibri"/>
        <family val="2"/>
        <scheme val="minor"/>
      </rPr>
      <t>(crashes/year)</t>
    </r>
  </si>
  <si>
    <r>
      <t>(9)</t>
    </r>
    <r>
      <rPr>
        <sz val="6"/>
        <rFont val="Calibri"/>
        <family val="2"/>
        <scheme val="minor"/>
      </rPr>
      <t>FI</t>
    </r>
    <r>
      <rPr>
        <sz val="10"/>
        <rFont val="Calibri"/>
        <family val="2"/>
        <scheme val="minor"/>
      </rPr>
      <t xml:space="preserve"> from Worksheet 2E</t>
    </r>
  </si>
  <si>
    <r>
      <t>(9)</t>
    </r>
    <r>
      <rPr>
        <sz val="6"/>
        <rFont val="Calibri"/>
        <family val="2"/>
        <scheme val="minor"/>
      </rPr>
      <t>PDO</t>
    </r>
    <r>
      <rPr>
        <sz val="10"/>
        <rFont val="Calibri"/>
        <family val="2"/>
        <scheme val="minor"/>
      </rPr>
      <t xml:space="preserve"> from Worksheet 2E</t>
    </r>
  </si>
  <si>
    <r>
      <t>Predicted N</t>
    </r>
    <r>
      <rPr>
        <b/>
        <vertAlign val="subscript"/>
        <sz val="10"/>
        <rFont val="Calibri"/>
        <family val="2"/>
        <scheme val="minor"/>
      </rPr>
      <t>bi</t>
    </r>
  </si>
  <si>
    <r>
      <t>f</t>
    </r>
    <r>
      <rPr>
        <b/>
        <i/>
        <vertAlign val="subscript"/>
        <sz val="10"/>
        <rFont val="Calibri"/>
        <family val="2"/>
        <scheme val="minor"/>
      </rPr>
      <t>pedi</t>
    </r>
  </si>
  <si>
    <r>
      <t>Calibration factor, C</t>
    </r>
    <r>
      <rPr>
        <b/>
        <vertAlign val="subscript"/>
        <sz val="10"/>
        <rFont val="Calibri"/>
        <family val="2"/>
        <scheme val="minor"/>
      </rPr>
      <t>i</t>
    </r>
  </si>
  <si>
    <r>
      <t>Predicted N</t>
    </r>
    <r>
      <rPr>
        <b/>
        <vertAlign val="subscript"/>
        <sz val="10"/>
        <rFont val="Calibri"/>
        <family val="2"/>
        <scheme val="minor"/>
      </rPr>
      <t>pedi</t>
    </r>
  </si>
  <si>
    <t>(2) + (3)</t>
  </si>
  <si>
    <r>
      <t>CMF</t>
    </r>
    <r>
      <rPr>
        <vertAlign val="subscript"/>
        <sz val="10"/>
        <rFont val="Calibri"/>
        <family val="2"/>
        <scheme val="minor"/>
      </rPr>
      <t>1p</t>
    </r>
  </si>
  <si>
    <r>
      <t>CMF</t>
    </r>
    <r>
      <rPr>
        <vertAlign val="subscript"/>
        <sz val="10"/>
        <rFont val="Calibri"/>
        <family val="2"/>
        <scheme val="minor"/>
      </rPr>
      <t>2p</t>
    </r>
  </si>
  <si>
    <r>
      <t>CMF</t>
    </r>
    <r>
      <rPr>
        <vertAlign val="subscript"/>
        <sz val="10"/>
        <rFont val="Calibri"/>
        <family val="2"/>
        <scheme val="minor"/>
      </rPr>
      <t>3p</t>
    </r>
  </si>
  <si>
    <r>
      <t>N</t>
    </r>
    <r>
      <rPr>
        <b/>
        <i/>
        <vertAlign val="subscript"/>
        <sz val="10"/>
        <rFont val="Calibri"/>
        <family val="2"/>
        <scheme val="minor"/>
      </rPr>
      <t>pedbase</t>
    </r>
  </si>
  <si>
    <r>
      <t>Predicted N</t>
    </r>
    <r>
      <rPr>
        <b/>
        <i/>
        <vertAlign val="subscript"/>
        <sz val="10"/>
        <rFont val="Calibri"/>
        <family val="2"/>
        <scheme val="minor"/>
      </rPr>
      <t>pedi</t>
    </r>
  </si>
  <si>
    <r>
      <t>f</t>
    </r>
    <r>
      <rPr>
        <b/>
        <i/>
        <vertAlign val="subscript"/>
        <sz val="10"/>
        <rFont val="Calibri"/>
        <family val="2"/>
        <scheme val="minor"/>
      </rPr>
      <t>bikei</t>
    </r>
  </si>
  <si>
    <r>
      <t>Predicted N</t>
    </r>
    <r>
      <rPr>
        <b/>
        <vertAlign val="subscript"/>
        <sz val="10"/>
        <rFont val="Calibri"/>
        <family val="2"/>
        <scheme val="minor"/>
      </rPr>
      <t>bikei</t>
    </r>
  </si>
  <si>
    <r>
      <t>Predicted average crash frequency, N</t>
    </r>
    <r>
      <rPr>
        <b/>
        <i/>
        <vertAlign val="subscript"/>
        <sz val="10"/>
        <rFont val="Calibri"/>
        <family val="2"/>
        <scheme val="minor"/>
      </rPr>
      <t>predicted int</t>
    </r>
    <r>
      <rPr>
        <b/>
        <sz val="10"/>
        <rFont val="Calibri"/>
        <family val="2"/>
        <scheme val="minor"/>
      </rPr>
      <t xml:space="preserve"> (crashes/year)</t>
    </r>
  </si>
  <si>
    <t>WORKSHEET 2B -- CRASH MODIFICATION FACTORS FOR URBAN AND SUBURBAN ARTERIAL INTERSECTIONS</t>
  </si>
  <si>
    <t>WORKSHEET 2C -- MULTIPLE-VEHICLE COLLISIONS BY SEVERITY LEVEL FOR URBAN AND SUBURBAN ARTERIAL INTERSECTIONS</t>
  </si>
  <si>
    <t>WORKSHEET 2D -- MULTIPLE-VEHICLE COLLISIONS BY COLLISION TYPE FOR URBAN AND SUBURBAN ARTERIAL INTERSECTIONS</t>
  </si>
  <si>
    <t>WORKSHEET 2E -- SINGLE-VEHICLE COLLISIONS BY SEVERITY LEVEL FOR URBAN AND SUBURBAN ARTERIAL INTERSECTIONS</t>
  </si>
  <si>
    <t>WORKSHEET 2F -- SINGLE-VEHICLE COLLISIONS BY COLLISION TYPE FOR URBAN AND SUBURBAN ARTERIAL INTERSECTIONS</t>
  </si>
  <si>
    <t>WORKSHEET 2G -- VEHICLE-PEDESTRIAN COLLISIONS FOR URBAN AND SUBURBAN ARTERIAL STOP-CONTROLLED INTERSECTIONS</t>
  </si>
  <si>
    <t>WORKSHEET 2H -- CRASH MODIFICATION FACTORS FOR VEHICLE-PEDESTRIAN COLLISIONS FOR URBAN AND SUBURBAN ARTERIAL SIGNALIZED INTERSECTIONS</t>
  </si>
  <si>
    <t>WORKSHEET 2I -- VEHICLE-PEDESTRIAN COLLISIONS FOR URBAN AND SUBURBAN ARTERIAL SIGNALIZED INTERSECTIONS</t>
  </si>
  <si>
    <t>WORKSHEET 2J -- VEHICLE-BICYCLE COLLISIONS FOR URBAN AND SUBURBAN ARTERIAL INTERSECTIONS</t>
  </si>
  <si>
    <t>WORKSHEET 2K -- CRASH SEVERITY DISTRIBUTION FOR URBAN AND SUBURBAN ARTERIAL INTERSECTIONS</t>
  </si>
  <si>
    <t>WORKSHEET 2L -- SUMMARY RESULTS FOR URBAN AND SUBURBAN ARTERIAL INTERSECTIONS</t>
  </si>
  <si>
    <t xml:space="preserve">           Single-vehicle crashes</t>
  </si>
  <si>
    <t xml:space="preserve">           Number of major-road approaches with left-turn lanes (0,1,2)</t>
  </si>
  <si>
    <t xml:space="preserve">           Number of major-road approaches with right-turn lanes (0,1,2)</t>
  </si>
  <si>
    <t xml:space="preserve">           Number of approaches with left-turn lanes (0,1,2,3,4) [for 3SG, use maximum value of 3]</t>
  </si>
  <si>
    <t xml:space="preserve">           Number of approaches with right-turn lanes (0,1,2,3,4) [for 3SG, use maximum value of 3]</t>
  </si>
  <si>
    <t xml:space="preserve">           Number of approaches with left-turn signal phasing [for 3SG, use maximum value of 3]</t>
  </si>
  <si>
    <t xml:space="preserve">           Type of left-turn signal phasing for Leg #1</t>
  </si>
  <si>
    <t xml:space="preserve">           Type of left-turn signal phasing for Leg #2</t>
  </si>
  <si>
    <t xml:space="preserve">           Type of left-turn signal phasing for Leg #3</t>
  </si>
  <si>
    <t xml:space="preserve">           Type of left-turn signal phasing for Leg #4 (if applicable)</t>
  </si>
  <si>
    <t xml:space="preserve">           Number of approaches with right-turn-on-red prohibited [for 3SG, use maximum value of 3]</t>
  </si>
  <si>
    <t xml:space="preserve">           Intersection red light cameras (present/not present)</t>
  </si>
  <si>
    <t xml:space="preserve">           Sum of all pedestrian crossing volumes  (PedVol) -- Signalized intersections only</t>
  </si>
  <si>
    <r>
      <t xml:space="preserve">           Maximum number of lanes crossed by a pedestrian (n</t>
    </r>
    <r>
      <rPr>
        <vertAlign val="subscript"/>
        <sz val="10"/>
        <rFont val="Calibri"/>
        <family val="2"/>
        <scheme val="minor"/>
      </rPr>
      <t>lanesx</t>
    </r>
    <r>
      <rPr>
        <sz val="10"/>
        <rFont val="Calibri"/>
        <family val="2"/>
        <scheme val="minor"/>
      </rPr>
      <t>)</t>
    </r>
  </si>
  <si>
    <t xml:space="preserve">           Number of bus stops within 300 m (1,000 ft) of the intersection</t>
  </si>
  <si>
    <t xml:space="preserve">           Schools within 300 m (1,000 ft) of the intersection (present/not present)</t>
  </si>
  <si>
    <t xml:space="preserve">           Number of alcohol sales establishments within 300 m (1,000 ft) of the intersection</t>
  </si>
  <si>
    <t>Intersection</t>
  </si>
  <si>
    <t>INTERSECTIONS ONLY</t>
  </si>
  <si>
    <t>Signalized or Unsignalized?</t>
  </si>
  <si>
    <t>Signalized/Unsignalized</t>
  </si>
  <si>
    <r>
      <t xml:space="preserve">AADT </t>
    </r>
    <r>
      <rPr>
        <vertAlign val="subscript"/>
        <sz val="10"/>
        <rFont val="Calibri"/>
        <family val="2"/>
        <scheme val="minor"/>
      </rPr>
      <t>minor</t>
    </r>
    <r>
      <rPr>
        <sz val="10"/>
        <rFont val="Calibri"/>
        <family val="2"/>
        <scheme val="minor"/>
      </rPr>
      <t xml:space="preserve"> (veh/day) (total entering on minor approaches)*</t>
    </r>
  </si>
  <si>
    <r>
      <t xml:space="preserve">N </t>
    </r>
    <r>
      <rPr>
        <b/>
        <vertAlign val="subscript"/>
        <sz val="10"/>
        <rFont val="Calibri"/>
        <family val="2"/>
        <scheme val="minor"/>
      </rPr>
      <t>potential for improvement (PROJECT)</t>
    </r>
  </si>
  <si>
    <t>Single-vehicle (Seg)</t>
  </si>
  <si>
    <t>Multiple-vehicle (Intx)</t>
  </si>
  <si>
    <t>Single-vehicle (Intx)</t>
  </si>
  <si>
    <t>If inputs are complete, click for next element</t>
  </si>
  <si>
    <t>Multiple Year Analysis?</t>
  </si>
  <si>
    <t>Predicted/expected crashes</t>
  </si>
  <si>
    <t>Typical site safety performance (predicted average crash frequency)</t>
  </si>
  <si>
    <t>Anticipated long-term safety performance (expected average crash frequency)</t>
  </si>
  <si>
    <t>Base Year</t>
  </si>
  <si>
    <t>Analysis Period (Years)</t>
  </si>
  <si>
    <t>MULTIPLE-YEAR ANALYSIS FOR URBAN AND SUBURBAN ARTERIALS - INPUTS</t>
  </si>
  <si>
    <t>MULTIPLE-YEAR ANALYSIS SUMMARY FOR URBAN AND SUBURBAN ARTERIALS</t>
  </si>
  <si>
    <t>Linear Traffic Growth (annual %)</t>
  </si>
  <si>
    <t>Potential for Safety Improvement 
(crashes/yr)</t>
  </si>
  <si>
    <t>Linear Traffic Growth Rate (annual %)</t>
  </si>
  <si>
    <t>HSM Part C Training Tool Instructions</t>
  </si>
  <si>
    <t>Data Color Guidelines</t>
  </si>
  <si>
    <t>General Steps for Project Safety Performance Analysis</t>
  </si>
  <si>
    <r>
      <t>1.</t>
    </r>
    <r>
      <rPr>
        <sz val="7"/>
        <rFont val="Times New Roman"/>
        <family val="1"/>
      </rPr>
      <t xml:space="preserve">       </t>
    </r>
    <r>
      <rPr>
        <sz val="11"/>
        <rFont val="Calibri"/>
        <family val="2"/>
      </rPr>
      <t>Navigate to the “Project Information” tab.</t>
    </r>
  </si>
  <si>
    <r>
      <t>2.</t>
    </r>
    <r>
      <rPr>
        <sz val="7"/>
        <rFont val="Times New Roman"/>
        <family val="1"/>
      </rPr>
      <t xml:space="preserve">       </t>
    </r>
    <r>
      <rPr>
        <sz val="11"/>
        <rFont val="Calibri"/>
        <family val="2"/>
      </rPr>
      <t>Using the color guidelines above, populate the required information under General Information.</t>
    </r>
  </si>
  <si>
    <r>
      <t>5.</t>
    </r>
    <r>
      <rPr>
        <sz val="7"/>
        <rFont val="Times New Roman"/>
        <family val="1"/>
      </rPr>
      <t xml:space="preserve">       </t>
    </r>
    <r>
      <rPr>
        <sz val="11"/>
        <rFont val="Calibri"/>
        <family val="2"/>
      </rPr>
      <t>Once all of the information has been entered, push the “Proceed to 1</t>
    </r>
    <r>
      <rPr>
        <vertAlign val="superscript"/>
        <sz val="11"/>
        <rFont val="Calibri"/>
        <family val="2"/>
      </rPr>
      <t>st</t>
    </r>
    <r>
      <rPr>
        <sz val="11"/>
        <rFont val="Calibri"/>
        <family val="2"/>
      </rPr>
      <t xml:space="preserve"> Element” button.</t>
    </r>
  </si>
  <si>
    <r>
      <t>6.</t>
    </r>
    <r>
      <rPr>
        <sz val="7"/>
        <rFont val="Times New Roman"/>
        <family val="1"/>
      </rPr>
      <t xml:space="preserve">       </t>
    </r>
    <r>
      <rPr>
        <sz val="11"/>
        <rFont val="Calibri"/>
        <family val="2"/>
      </rPr>
      <t>On the current tab (either “Segment 1” or “Intersection 1”), enter all of the required information (refer to color guidelines).</t>
    </r>
  </si>
  <si>
    <r>
      <t>7.</t>
    </r>
    <r>
      <rPr>
        <sz val="7"/>
        <rFont val="Times New Roman"/>
        <family val="1"/>
      </rPr>
      <t xml:space="preserve">       </t>
    </r>
    <r>
      <rPr>
        <sz val="11"/>
        <rFont val="Calibri"/>
        <family val="2"/>
      </rPr>
      <t>Ensure that all necessary information has been entered, then push the “Next Element” button.</t>
    </r>
  </si>
  <si>
    <r>
      <t>8.</t>
    </r>
    <r>
      <rPr>
        <sz val="7"/>
        <rFont val="Times New Roman"/>
        <family val="1"/>
      </rPr>
      <t xml:space="preserve">       </t>
    </r>
    <r>
      <rPr>
        <sz val="11"/>
        <rFont val="Calibri"/>
        <family val="2"/>
      </rPr>
      <t>Repeat steps 6 and 7 for all project elements.</t>
    </r>
  </si>
  <si>
    <t>General Steps for a Multi-Year Project Safety Performance Analysis</t>
  </si>
  <si>
    <r>
      <t>1.</t>
    </r>
    <r>
      <rPr>
        <sz val="7"/>
        <rFont val="Times New Roman"/>
        <family val="1"/>
      </rPr>
      <t xml:space="preserve">       </t>
    </r>
    <r>
      <rPr>
        <sz val="11"/>
        <rFont val="Calibri"/>
        <family val="2"/>
      </rPr>
      <t>Complete all steps for the Project Safety Performance Analysis first.</t>
    </r>
  </si>
  <si>
    <r>
      <t>2.</t>
    </r>
    <r>
      <rPr>
        <sz val="7"/>
        <rFont val="Times New Roman"/>
        <family val="1"/>
      </rPr>
      <t xml:space="preserve">       </t>
    </r>
    <r>
      <rPr>
        <sz val="11"/>
        <rFont val="Calibri"/>
        <family val="2"/>
      </rPr>
      <t>Navigate to the “Multi-Year Analysis Inputs” tab.</t>
    </r>
  </si>
  <si>
    <r>
      <t>4.</t>
    </r>
    <r>
      <rPr>
        <sz val="7"/>
        <rFont val="Times New Roman"/>
        <family val="1"/>
      </rPr>
      <t xml:space="preserve">       </t>
    </r>
    <r>
      <rPr>
        <sz val="11"/>
        <rFont val="Calibri"/>
        <family val="2"/>
      </rPr>
      <t>Once all of the information is complete, push the “Run Multi-Year Analysis” button to perform the analysis.</t>
    </r>
  </si>
  <si>
    <t xml:space="preserve">    Required user input data</t>
  </si>
  <si>
    <t xml:space="preserve">    Required user input data restricted to dropdown values</t>
  </si>
  <si>
    <t xml:space="preserve">    Automatically updated information based on previous user input data</t>
  </si>
  <si>
    <t>Protected/Permissive</t>
  </si>
  <si>
    <t>Permissive/Protected</t>
  </si>
  <si>
    <r>
      <t>Predicted average crash frequency,      
N</t>
    </r>
    <r>
      <rPr>
        <b/>
        <vertAlign val="subscript"/>
        <sz val="10"/>
        <rFont val="Calibri"/>
        <family val="2"/>
        <scheme val="minor"/>
      </rPr>
      <t xml:space="preserve"> predicted rs</t>
    </r>
    <r>
      <rPr>
        <b/>
        <sz val="10"/>
        <rFont val="Calibri"/>
        <family val="2"/>
        <scheme val="minor"/>
      </rPr>
      <t xml:space="preserve"> (crashes/year)</t>
    </r>
  </si>
  <si>
    <r>
      <t xml:space="preserve">Predicted Average Crash Frequency 
</t>
    </r>
    <r>
      <rPr>
        <i/>
        <sz val="10"/>
        <rFont val="Calibri"/>
        <family val="2"/>
        <scheme val="minor"/>
      </rPr>
      <t>(N</t>
    </r>
    <r>
      <rPr>
        <i/>
        <vertAlign val="subscript"/>
        <sz val="10"/>
        <rFont val="Calibri"/>
        <family val="2"/>
        <scheme val="minor"/>
      </rPr>
      <t>predicted</t>
    </r>
    <r>
      <rPr>
        <i/>
        <sz val="10"/>
        <rFont val="Calibri"/>
        <family val="2"/>
        <scheme val="minor"/>
      </rPr>
      <t>)</t>
    </r>
  </si>
  <si>
    <r>
      <t xml:space="preserve">Expected Average Crash Frequency 
</t>
    </r>
    <r>
      <rPr>
        <i/>
        <sz val="10"/>
        <rFont val="Calibri"/>
        <family val="2"/>
        <scheme val="minor"/>
      </rPr>
      <t>(N</t>
    </r>
    <r>
      <rPr>
        <i/>
        <vertAlign val="subscript"/>
        <sz val="10"/>
        <rFont val="Calibri"/>
        <family val="2"/>
        <scheme val="minor"/>
      </rPr>
      <t>expected</t>
    </r>
    <r>
      <rPr>
        <i/>
        <sz val="10"/>
        <rFont val="Calibri"/>
        <family val="2"/>
        <scheme val="minor"/>
      </rPr>
      <t>)</t>
    </r>
  </si>
  <si>
    <r>
      <t>Observed crashes,</t>
    </r>
    <r>
      <rPr>
        <sz val="10"/>
        <rFont val="Calibri"/>
        <family val="2"/>
        <scheme val="minor"/>
      </rPr>
      <t xml:space="preserve">   N</t>
    </r>
    <r>
      <rPr>
        <vertAlign val="subscript"/>
        <sz val="10"/>
        <rFont val="Calibri"/>
        <family val="2"/>
        <scheme val="minor"/>
      </rPr>
      <t>observed</t>
    </r>
    <r>
      <rPr>
        <sz val="10"/>
        <rFont val="Calibri"/>
        <family val="2"/>
        <scheme val="minor"/>
      </rPr>
      <t xml:space="preserve"> (crashes/year)</t>
    </r>
  </si>
  <si>
    <r>
      <t>Expected average crash frequency, N</t>
    </r>
    <r>
      <rPr>
        <b/>
        <vertAlign val="subscript"/>
        <sz val="10"/>
        <rFont val="Calibri"/>
        <family val="2"/>
        <scheme val="minor"/>
      </rPr>
      <t>expected</t>
    </r>
  </si>
  <si>
    <r>
      <t>N</t>
    </r>
    <r>
      <rPr>
        <vertAlign val="subscript"/>
        <sz val="10"/>
        <rFont val="Calibri"/>
        <family val="2"/>
        <scheme val="minor"/>
      </rPr>
      <t xml:space="preserve"> predicted</t>
    </r>
    <r>
      <rPr>
        <sz val="10"/>
        <rFont val="Calibri"/>
        <family val="2"/>
        <scheme val="minor"/>
      </rPr>
      <t xml:space="preserve"> (TOTAL)</t>
    </r>
  </si>
  <si>
    <r>
      <t xml:space="preserve"> N</t>
    </r>
    <r>
      <rPr>
        <vertAlign val="subscript"/>
        <sz val="10"/>
        <rFont val="Calibri"/>
        <family val="2"/>
        <scheme val="minor"/>
      </rPr>
      <t xml:space="preserve"> predicted    </t>
    </r>
    <r>
      <rPr>
        <sz val="10"/>
        <rFont val="Calibri"/>
        <family val="2"/>
        <scheme val="minor"/>
      </rPr>
      <t xml:space="preserve">  (FI)</t>
    </r>
  </si>
  <si>
    <r>
      <t xml:space="preserve"> N</t>
    </r>
    <r>
      <rPr>
        <vertAlign val="subscript"/>
        <sz val="10"/>
        <rFont val="Calibri"/>
        <family val="2"/>
        <scheme val="minor"/>
      </rPr>
      <t xml:space="preserve"> predicted</t>
    </r>
    <r>
      <rPr>
        <sz val="10"/>
        <rFont val="Calibri"/>
        <family val="2"/>
        <scheme val="minor"/>
      </rPr>
      <t xml:space="preserve">    (PDO)</t>
    </r>
  </si>
  <si>
    <r>
      <t>N</t>
    </r>
    <r>
      <rPr>
        <vertAlign val="subscript"/>
        <sz val="10"/>
        <rFont val="Calibri"/>
        <family val="2"/>
        <scheme val="minor"/>
      </rPr>
      <t>ped</t>
    </r>
  </si>
  <si>
    <r>
      <t xml:space="preserve">N </t>
    </r>
    <r>
      <rPr>
        <b/>
        <vertAlign val="subscript"/>
        <sz val="10"/>
        <rFont val="Calibri"/>
        <family val="2"/>
        <scheme val="minor"/>
      </rPr>
      <t>predicted(SV+MV)</t>
    </r>
  </si>
  <si>
    <r>
      <t xml:space="preserve">N </t>
    </r>
    <r>
      <rPr>
        <b/>
        <vertAlign val="subscript"/>
        <sz val="10"/>
        <rFont val="Calibri"/>
        <family val="2"/>
        <scheme val="minor"/>
      </rPr>
      <t>predicted(ped)</t>
    </r>
  </si>
  <si>
    <r>
      <t xml:space="preserve">N </t>
    </r>
    <r>
      <rPr>
        <b/>
        <vertAlign val="subscript"/>
        <sz val="10"/>
        <rFont val="Calibri"/>
        <family val="2"/>
        <scheme val="minor"/>
      </rPr>
      <t>predicted(bicycle)</t>
    </r>
  </si>
  <si>
    <r>
      <t xml:space="preserve">N </t>
    </r>
    <r>
      <rPr>
        <b/>
        <vertAlign val="subscript"/>
        <sz val="10"/>
        <rFont val="Calibri"/>
        <family val="2"/>
        <scheme val="minor"/>
      </rPr>
      <t>expected (PROJECT)</t>
    </r>
  </si>
  <si>
    <r>
      <t>(2)</t>
    </r>
    <r>
      <rPr>
        <vertAlign val="subscript"/>
        <sz val="10"/>
        <rFont val="Calibri"/>
        <family val="2"/>
        <scheme val="minor"/>
      </rPr>
      <t>COMB</t>
    </r>
    <r>
      <rPr>
        <sz val="10"/>
        <rFont val="Calibri"/>
        <family val="2"/>
        <scheme val="minor"/>
      </rPr>
      <t xml:space="preserve"> from Worksheet 3A</t>
    </r>
  </si>
  <si>
    <r>
      <t>(2)</t>
    </r>
    <r>
      <rPr>
        <vertAlign val="subscript"/>
        <sz val="10"/>
        <rFont val="Calibri"/>
        <family val="2"/>
        <scheme val="minor"/>
      </rPr>
      <t>COMB</t>
    </r>
    <r>
      <rPr>
        <sz val="10"/>
        <rFont val="Calibri"/>
        <family val="2"/>
        <scheme val="minor"/>
      </rPr>
      <t xml:space="preserve"> from Worksheet 3B</t>
    </r>
  </si>
  <si>
    <r>
      <t>(3)</t>
    </r>
    <r>
      <rPr>
        <vertAlign val="subscript"/>
        <sz val="10"/>
        <rFont val="Calibri"/>
        <family val="2"/>
        <scheme val="minor"/>
      </rPr>
      <t>COMB</t>
    </r>
    <r>
      <rPr>
        <sz val="10"/>
        <rFont val="Calibri"/>
        <family val="2"/>
        <scheme val="minor"/>
      </rPr>
      <t xml:space="preserve"> from Worksheet 3B</t>
    </r>
  </si>
  <si>
    <r>
      <t>(3)</t>
    </r>
    <r>
      <rPr>
        <vertAlign val="subscript"/>
        <sz val="10"/>
        <rFont val="Calibri"/>
        <family val="2"/>
        <scheme val="minor"/>
      </rPr>
      <t>COMB</t>
    </r>
    <r>
      <rPr>
        <sz val="10"/>
        <rFont val="Calibri"/>
        <family val="2"/>
        <scheme val="minor"/>
      </rPr>
      <t xml:space="preserve"> from Worksheet 3A</t>
    </r>
  </si>
  <si>
    <r>
      <t>(5)</t>
    </r>
    <r>
      <rPr>
        <vertAlign val="subscript"/>
        <sz val="10"/>
        <rFont val="Calibri"/>
        <family val="2"/>
        <scheme val="minor"/>
      </rPr>
      <t>TOTAL</t>
    </r>
    <r>
      <rPr>
        <sz val="10"/>
        <rFont val="Calibri"/>
        <family val="2"/>
        <scheme val="minor"/>
      </rPr>
      <t xml:space="preserve"> * (2)</t>
    </r>
    <r>
      <rPr>
        <vertAlign val="subscript"/>
        <sz val="10"/>
        <rFont val="Calibri"/>
        <family val="2"/>
        <scheme val="minor"/>
      </rPr>
      <t>FI</t>
    </r>
    <r>
      <rPr>
        <sz val="10"/>
        <rFont val="Calibri"/>
        <family val="2"/>
        <scheme val="minor"/>
      </rPr>
      <t xml:space="preserve"> / (2) </t>
    </r>
    <r>
      <rPr>
        <vertAlign val="subscript"/>
        <sz val="10"/>
        <rFont val="Calibri"/>
        <family val="2"/>
        <scheme val="minor"/>
      </rPr>
      <t>TOTAL</t>
    </r>
  </si>
  <si>
    <r>
      <t>(4)</t>
    </r>
    <r>
      <rPr>
        <vertAlign val="subscript"/>
        <sz val="10"/>
        <rFont val="Calibri"/>
        <family val="2"/>
        <scheme val="minor"/>
      </rPr>
      <t>COMB</t>
    </r>
    <r>
      <rPr>
        <sz val="10"/>
        <rFont val="Calibri"/>
        <family val="2"/>
        <scheme val="minor"/>
      </rPr>
      <t xml:space="preserve"> from Worksheet 3A</t>
    </r>
  </si>
  <si>
    <r>
      <t>(5)</t>
    </r>
    <r>
      <rPr>
        <vertAlign val="subscript"/>
        <sz val="10"/>
        <rFont val="Calibri"/>
        <family val="2"/>
        <scheme val="minor"/>
      </rPr>
      <t>TOTAL</t>
    </r>
    <r>
      <rPr>
        <sz val="10"/>
        <rFont val="Calibri"/>
        <family val="2"/>
        <scheme val="minor"/>
      </rPr>
      <t xml:space="preserve"> * (2)</t>
    </r>
    <r>
      <rPr>
        <vertAlign val="subscript"/>
        <sz val="10"/>
        <rFont val="Calibri"/>
        <family val="2"/>
        <scheme val="minor"/>
      </rPr>
      <t>PDO</t>
    </r>
    <r>
      <rPr>
        <sz val="10"/>
        <rFont val="Calibri"/>
        <family val="2"/>
        <scheme val="minor"/>
      </rPr>
      <t xml:space="preserve"> / (2) </t>
    </r>
    <r>
      <rPr>
        <vertAlign val="subscript"/>
        <sz val="10"/>
        <rFont val="Calibri"/>
        <family val="2"/>
        <scheme val="minor"/>
      </rPr>
      <t>TOTAL</t>
    </r>
  </si>
  <si>
    <t>Known</t>
  </si>
  <si>
    <t>Not Known</t>
  </si>
  <si>
    <t>User Input</t>
  </si>
  <si>
    <t>Given the potential effects of project characteristics on safety performance, results indicate that:</t>
  </si>
  <si>
    <t>MULTIPLE YEAR PROJECT SAFETY PERFORMANCE SUMMARY REPORT FOR URBAN AND SUBURBAN ARTERIAL</t>
  </si>
  <si>
    <t>Fatal and injury crashes (KABC)</t>
  </si>
  <si>
    <t>Property damage only crashes (PDO)</t>
  </si>
  <si>
    <t>Total crashes (KABCO)</t>
  </si>
  <si>
    <r>
      <t>Predicted Average Crash Frequency 
(</t>
    </r>
    <r>
      <rPr>
        <i/>
        <sz val="10"/>
        <rFont val="Calibri"/>
        <family val="2"/>
        <scheme val="minor"/>
      </rPr>
      <t>Npredicted</t>
    </r>
    <r>
      <rPr>
        <sz val="10"/>
        <rFont val="Calibri"/>
        <family val="2"/>
        <scheme val="minor"/>
      </rPr>
      <t>)</t>
    </r>
  </si>
  <si>
    <r>
      <t>Expected Average Crash Frequency 
(</t>
    </r>
    <r>
      <rPr>
        <i/>
        <sz val="10"/>
        <rFont val="Calibri"/>
        <family val="2"/>
        <scheme val="minor"/>
      </rPr>
      <t>Nexpected</t>
    </r>
    <r>
      <rPr>
        <sz val="10"/>
        <rFont val="Calibri"/>
        <family val="2"/>
        <scheme val="minor"/>
      </rPr>
      <t>)</t>
    </r>
  </si>
  <si>
    <t>Link</t>
  </si>
  <si>
    <r>
      <t>N</t>
    </r>
    <r>
      <rPr>
        <vertAlign val="subscript"/>
        <sz val="10"/>
        <rFont val="Calibri"/>
        <family val="2"/>
        <scheme val="minor"/>
      </rPr>
      <t>bicycle</t>
    </r>
  </si>
  <si>
    <t xml:space="preserve">    User work space (notes, comments, etc.)</t>
  </si>
  <si>
    <t>Upon Opening the File</t>
  </si>
  <si>
    <t>1.    Ensure that macros are enabled in Excel.  (Refer to Microsoft Help for more information about enabling macros.)</t>
  </si>
  <si>
    <t>2.    Read the terms of use and follow the directions on the prompts.</t>
  </si>
  <si>
    <t>4.    Read all instructions before proceeding.</t>
  </si>
  <si>
    <r>
      <t>3.</t>
    </r>
    <r>
      <rPr>
        <sz val="7"/>
        <rFont val="Times New Roman"/>
        <family val="1"/>
      </rPr>
      <t xml:space="preserve">       </t>
    </r>
    <r>
      <rPr>
        <sz val="11"/>
        <rFont val="Calibri"/>
        <family val="2"/>
      </rPr>
      <t>Push the “Update Element Table” button to set up the element table.  *Note: Elements cannot be added to the analysis once this button has been pushed.</t>
    </r>
  </si>
  <si>
    <r>
      <t>10.</t>
    </r>
    <r>
      <rPr>
        <sz val="7"/>
        <rFont val="Times New Roman"/>
        <family val="1"/>
      </rPr>
      <t xml:space="preserve">   </t>
    </r>
    <r>
      <rPr>
        <sz val="11"/>
        <rFont val="Calibri"/>
        <family val="2"/>
      </rPr>
      <t>At this time, any of the input information on the element tabs can be altered if desired.  The results will update automatically.</t>
    </r>
  </si>
  <si>
    <t>User Work Space</t>
  </si>
  <si>
    <t>Barrier</t>
  </si>
  <si>
    <t>3.    If analyzing a new project, follow the prompts to save as a new file.</t>
  </si>
  <si>
    <r>
      <t>9.</t>
    </r>
    <r>
      <rPr>
        <sz val="7"/>
        <rFont val="Times New Roman"/>
        <family val="1"/>
      </rPr>
      <t xml:space="preserve">       </t>
    </r>
    <r>
      <rPr>
        <sz val="11"/>
        <rFont val="Calibri"/>
        <family val="2"/>
      </rPr>
      <t>On the tab for the final project element, push the "Generate Report" button to run the analysis and redirect to the “Report” page, giving a summary of the analysis results.</t>
    </r>
  </si>
  <si>
    <t>Roadway type (2U, 3T, 4U, 4D, 5T)</t>
  </si>
  <si>
    <t>NOTES: * AADT: It is important to remember that the AADT(major) = AADT(major approach1) + AADT(minor approach2) (refer to p.12-8 in Part C of the HSM)</t>
  </si>
  <si>
    <t>Average Annual Crash History (3 or 5-yr average)</t>
  </si>
  <si>
    <r>
      <t>3.</t>
    </r>
    <r>
      <rPr>
        <sz val="7"/>
        <rFont val="Times New Roman"/>
        <family val="1"/>
      </rPr>
      <t xml:space="preserve">       </t>
    </r>
    <r>
      <rPr>
        <sz val="11"/>
        <rFont val="Calibri"/>
        <family val="2"/>
      </rPr>
      <t>Enter the required information (Input Data*).  Refer to color guidelines as necessary. *Note: the Traffic Growth Rate is a linear growth rate per year (i.e. the volume increases by the same number of vehicles each year) and should be entered as a percent, not as a decimal.</t>
    </r>
  </si>
  <si>
    <r>
      <t>4.</t>
    </r>
    <r>
      <rPr>
        <sz val="7"/>
        <rFont val="Times New Roman"/>
        <family val="1"/>
      </rPr>
      <t xml:space="preserve">       </t>
    </r>
    <r>
      <rPr>
        <sz val="11"/>
        <rFont val="Calibri"/>
        <family val="2"/>
      </rPr>
      <t>Fill in the Route, Location Description, and Jurisdiction for each element.  For intersections, also select whether or not the intersection is signalized.  And where applicable, select divided or undivided for each segment.</t>
    </r>
  </si>
  <si>
    <r>
      <t>5.</t>
    </r>
    <r>
      <rPr>
        <sz val="7"/>
        <rFont val="Times New Roman"/>
        <family val="1"/>
      </rPr>
      <t xml:space="preserve">       </t>
    </r>
    <r>
      <rPr>
        <sz val="11"/>
        <rFont val="Calibri"/>
        <family val="2"/>
      </rPr>
      <t>The “Multi-Year Summary Report” tab provides a summary table of the multi-year analysis, with the expected average crash frequency, the potential for safety improvement, and a discussion of the results for the analysis period.</t>
    </r>
  </si>
  <si>
    <r>
      <t>This series of spreadsheets has been developed to assist in the application of the predictive methods contained in the Highway Safety Manual (HSM), 1</t>
    </r>
    <r>
      <rPr>
        <vertAlign val="superscript"/>
        <sz val="11"/>
        <rFont val="Calibri"/>
        <family val="2"/>
      </rPr>
      <t>st</t>
    </r>
    <r>
      <rPr>
        <sz val="11"/>
        <rFont val="Calibri"/>
        <family val="2"/>
      </rPr>
      <t xml:space="preserve"> Edition for analyzing: urban and suburban arterials, rural multilane roads, and rural two lane roads.  </t>
    </r>
  </si>
  <si>
    <t>Overview</t>
  </si>
  <si>
    <t>Base AADT</t>
  </si>
  <si>
    <r>
      <t xml:space="preserve">N </t>
    </r>
    <r>
      <rPr>
        <b/>
        <vertAlign val="subscript"/>
        <sz val="10"/>
        <rFont val="Calibri"/>
        <family val="2"/>
        <scheme val="minor"/>
      </rPr>
      <t>predicted(PROJECT)</t>
    </r>
  </si>
  <si>
    <r>
      <t>(8)</t>
    </r>
    <r>
      <rPr>
        <vertAlign val="subscript"/>
        <sz val="10"/>
        <rFont val="Calibri"/>
        <family val="2"/>
        <scheme val="minor"/>
      </rPr>
      <t>COMB</t>
    </r>
    <r>
      <rPr>
        <sz val="10"/>
        <rFont val="Calibri"/>
        <family val="2"/>
        <scheme val="minor"/>
      </rPr>
      <t xml:space="preserve"> Worksheet 3A + (3) + (4)</t>
    </r>
  </si>
  <si>
    <t>PROJECT SUMMARY -- Site-Specific EB Method Summary Results for Urban and Suburban Arterial Project</t>
  </si>
  <si>
    <t>(5a)</t>
  </si>
  <si>
    <t>(5b)</t>
  </si>
  <si>
    <r>
      <t>PROJECT ELEMENT RESULTS SUMMARY</t>
    </r>
    <r>
      <rPr>
        <b/>
        <vertAlign val="superscript"/>
        <sz val="10"/>
        <rFont val="Arial Narrow"/>
        <family val="2"/>
      </rPr>
      <t>1</t>
    </r>
  </si>
  <si>
    <r>
      <rPr>
        <vertAlign val="superscript"/>
        <sz val="8"/>
        <rFont val="Calibri"/>
        <family val="2"/>
        <scheme val="minor"/>
      </rPr>
      <t>1</t>
    </r>
    <r>
      <rPr>
        <sz val="8"/>
        <rFont val="Calibri"/>
        <family val="2"/>
        <scheme val="minor"/>
      </rPr>
      <t xml:space="preserve"> The values in this table are </t>
    </r>
    <r>
      <rPr>
        <b/>
        <sz val="8"/>
        <rFont val="Calibri"/>
        <family val="2"/>
        <scheme val="minor"/>
      </rPr>
      <t>rounded</t>
    </r>
    <r>
      <rPr>
        <sz val="8"/>
        <rFont val="Calibri"/>
        <family val="2"/>
        <scheme val="minor"/>
      </rPr>
      <t xml:space="preserve"> values.  For unrounded values, refer to Workdheet 1L.</t>
    </r>
  </si>
  <si>
    <r>
      <t>PROJECT ELEMENT RESULTS SUMMARY</t>
    </r>
    <r>
      <rPr>
        <b/>
        <vertAlign val="superscript"/>
        <sz val="10"/>
        <rFont val="Calibri"/>
        <family val="2"/>
        <scheme val="minor"/>
      </rPr>
      <t>1</t>
    </r>
  </si>
</sst>
</file>

<file path=xl/styles.xml><?xml version="1.0" encoding="utf-8"?>
<styleSheet xmlns="http://schemas.openxmlformats.org/spreadsheetml/2006/main">
  <numFmts count="9">
    <numFmt numFmtId="164" formatCode="0.000"/>
    <numFmt numFmtId="165" formatCode="mm/dd/yy;@"/>
    <numFmt numFmtId="166" formatCode="0.0"/>
    <numFmt numFmtId="167" formatCode="#,##0.000"/>
    <numFmt numFmtId="168" formatCode="#,##0.0"/>
    <numFmt numFmtId="169" formatCode="[&lt;=9999999]###\-####;\(###\)\ ###\-####"/>
    <numFmt numFmtId="170" formatCode="0.0000"/>
    <numFmt numFmtId="171" formatCode="0.0%"/>
    <numFmt numFmtId="172" formatCode="&quot;$&quot;#,##0.00"/>
  </numFmts>
  <fonts count="59">
    <font>
      <sz val="10"/>
      <name val="Arial"/>
      <family val="2"/>
    </font>
    <font>
      <sz val="8"/>
      <name val="Arial"/>
      <family val="2"/>
    </font>
    <font>
      <b/>
      <sz val="10"/>
      <name val="Arial"/>
      <family val="2"/>
    </font>
    <font>
      <b/>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u val="single"/>
      <sz val="10"/>
      <name val="Arial"/>
      <family val="2"/>
    </font>
    <font>
      <sz val="10"/>
      <name val="Calibri"/>
      <family val="2"/>
    </font>
    <font>
      <u val="single"/>
      <sz val="10"/>
      <name val="Arial"/>
      <family val="2"/>
    </font>
    <font>
      <b/>
      <sz val="10"/>
      <name val="Arial Narrow"/>
      <family val="2"/>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vertAlign val="subscript"/>
      <sz val="10"/>
      <name val="Calibri"/>
      <family val="2"/>
      <scheme val="minor"/>
    </font>
    <font>
      <b/>
      <sz val="11"/>
      <name val="Calibri"/>
      <family val="2"/>
      <scheme val="minor"/>
    </font>
    <font>
      <sz val="11"/>
      <name val="Calibri"/>
      <family val="2"/>
      <scheme val="minor"/>
    </font>
    <font>
      <sz val="8"/>
      <name val="Calibri"/>
      <family val="2"/>
      <scheme val="minor"/>
    </font>
    <font>
      <sz val="10"/>
      <color theme="3"/>
      <name val="Calibri"/>
      <family val="2"/>
      <scheme val="minor"/>
    </font>
    <font>
      <i/>
      <sz val="10"/>
      <name val="Calibri"/>
      <family val="2"/>
      <scheme val="minor"/>
    </font>
    <font>
      <b/>
      <vertAlign val="subscript"/>
      <sz val="10"/>
      <name val="Calibri"/>
      <family val="2"/>
      <scheme val="minor"/>
    </font>
    <font>
      <b/>
      <sz val="6"/>
      <name val="Calibri"/>
      <family val="2"/>
      <scheme val="minor"/>
    </font>
    <font>
      <b/>
      <i/>
      <sz val="6"/>
      <name val="Calibri"/>
      <family val="2"/>
      <scheme val="minor"/>
    </font>
    <font>
      <b/>
      <i/>
      <vertAlign val="subscript"/>
      <sz val="10"/>
      <name val="Calibri"/>
      <family val="2"/>
      <scheme val="minor"/>
    </font>
    <font>
      <sz val="6"/>
      <name val="Calibri"/>
      <family val="2"/>
      <scheme val="minor"/>
    </font>
    <font>
      <vertAlign val="superscript"/>
      <sz val="10"/>
      <name val="Calibri"/>
      <family val="2"/>
      <scheme val="minor"/>
    </font>
    <font>
      <sz val="9"/>
      <name val="Calibri"/>
      <family val="2"/>
      <scheme val="minor"/>
    </font>
    <font>
      <sz val="7"/>
      <name val="Calibri"/>
      <family val="2"/>
      <scheme val="minor"/>
    </font>
    <font>
      <b/>
      <u val="single"/>
      <sz val="10"/>
      <name val="Calibri"/>
      <family val="2"/>
      <scheme val="minor"/>
    </font>
    <font>
      <b/>
      <u val="single"/>
      <vertAlign val="subscript"/>
      <sz val="10"/>
      <name val="Calibri"/>
      <family val="2"/>
      <scheme val="minor"/>
    </font>
    <font>
      <u val="single"/>
      <sz val="10"/>
      <name val="Calibri"/>
      <family val="2"/>
      <scheme val="minor"/>
    </font>
    <font>
      <i/>
      <vertAlign val="subscript"/>
      <sz val="10"/>
      <name val="Calibri"/>
      <family val="2"/>
      <scheme val="minor"/>
    </font>
    <font>
      <b/>
      <i/>
      <sz val="10"/>
      <name val="Calibri"/>
      <family val="2"/>
      <scheme val="minor"/>
    </font>
    <font>
      <u val="single"/>
      <sz val="12"/>
      <name val="Calibri"/>
      <family val="2"/>
      <scheme val="minor"/>
    </font>
    <font>
      <sz val="10"/>
      <color theme="0"/>
      <name val="Calibri"/>
      <family val="2"/>
      <scheme val="minor"/>
    </font>
    <font>
      <i/>
      <sz val="11"/>
      <color theme="1"/>
      <name val="Calibri"/>
      <family val="2"/>
      <scheme val="minor"/>
    </font>
    <font>
      <i/>
      <sz val="11"/>
      <name val="Calibri"/>
      <family val="2"/>
      <scheme val="minor"/>
    </font>
    <font>
      <b/>
      <sz val="12"/>
      <color rgb="FF000000"/>
      <name val="Calibri"/>
      <family val="2"/>
    </font>
    <font>
      <sz val="11"/>
      <name val="Calibri"/>
      <family val="2"/>
    </font>
    <font>
      <u val="single"/>
      <sz val="11"/>
      <name val="Calibri"/>
      <family val="2"/>
    </font>
    <font>
      <vertAlign val="superscript"/>
      <sz val="11"/>
      <name val="Calibri"/>
      <family val="2"/>
    </font>
    <font>
      <sz val="7"/>
      <name val="Times New Roman"/>
      <family val="1"/>
    </font>
    <font>
      <b/>
      <sz val="12"/>
      <name val="Calibri"/>
      <family val="2"/>
    </font>
    <font>
      <sz val="10"/>
      <color rgb="FFFF0000"/>
      <name val="Calibri"/>
      <family val="2"/>
      <scheme val="minor"/>
    </font>
    <font>
      <sz val="16"/>
      <color rgb="FFFF0000"/>
      <name val="Calibri"/>
      <family val="2"/>
      <scheme val="minor"/>
    </font>
    <font>
      <i/>
      <u val="single"/>
      <sz val="11"/>
      <name val="Calibri"/>
      <family val="2"/>
    </font>
    <font>
      <b/>
      <vertAlign val="superscript"/>
      <sz val="10"/>
      <name val="Arial Narrow"/>
      <family val="2"/>
    </font>
    <font>
      <vertAlign val="superscript"/>
      <sz val="8"/>
      <name val="Calibri"/>
      <family val="2"/>
      <scheme val="minor"/>
    </font>
    <font>
      <b/>
      <sz val="8"/>
      <name val="Calibri"/>
      <family val="2"/>
      <scheme val="minor"/>
    </font>
    <font>
      <b/>
      <vertAlign val="superscript"/>
      <sz val="10"/>
      <name val="Calibri"/>
      <family val="2"/>
      <scheme val="minor"/>
    </font>
    <font>
      <b/>
      <sz val="16"/>
      <color theme="1"/>
      <name val="+mn-cs"/>
      <family val="2"/>
    </font>
    <font>
      <b/>
      <sz val="12"/>
      <color theme="1"/>
      <name val="Calibri"/>
      <family val="2"/>
    </font>
    <font>
      <b/>
      <sz val="14"/>
      <color theme="1"/>
      <name val="Calibri"/>
      <family val="2"/>
    </font>
    <font>
      <sz val="10"/>
      <color rgb="FF000000"/>
      <name val="Calibri"/>
      <family val="2"/>
    </font>
    <font>
      <sz val="9.2"/>
      <color rgb="FF000000"/>
      <name val="Calibri"/>
      <family val="2"/>
    </font>
    <font>
      <b/>
      <sz val="10.5"/>
      <color theme="1"/>
      <name val="Calibri"/>
      <family val="2"/>
    </font>
    <font>
      <b/>
      <sz val="11"/>
      <color theme="1"/>
      <name val="Calibri"/>
      <family val="2"/>
    </font>
    <font>
      <sz val="10"/>
      <color theme="1"/>
      <name val="Arial"/>
      <family val="2"/>
      <scheme val="minor"/>
    </font>
  </fonts>
  <fills count="12">
    <fill>
      <patternFill/>
    </fill>
    <fill>
      <patternFill patternType="gray125"/>
    </fill>
    <fill>
      <patternFill patternType="solid">
        <fgColor rgb="FF56B4E9"/>
        <bgColor indexed="64"/>
      </patternFill>
    </fill>
    <fill>
      <patternFill patternType="solid">
        <fgColor rgb="FFFFFF99"/>
        <bgColor indexed="64"/>
      </patternFill>
    </fill>
    <fill>
      <patternFill patternType="solid">
        <fgColor theme="0" tint="-0.149959996342659"/>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2"/>
        <bgColor indexed="64"/>
      </patternFill>
    </fill>
    <fill>
      <patternFill patternType="solid">
        <fgColor rgb="FFE69F00"/>
        <bgColor indexed="64"/>
      </patternFill>
    </fill>
    <fill>
      <patternFill patternType="solid">
        <fgColor theme="6" tint="0.5999900102615356"/>
        <bgColor indexed="64"/>
      </patternFill>
    </fill>
  </fills>
  <borders count="57">
    <border>
      <left/>
      <right/>
      <top/>
      <bottom/>
      <diagonal/>
    </border>
    <border>
      <left style="thin"/>
      <right style="thin"/>
      <top style="thin"/>
      <bottom style="thin"/>
    </border>
    <border>
      <left style="thin"/>
      <right/>
      <top style="thin"/>
      <bottom style="thin"/>
    </border>
    <border>
      <left style="thin"/>
      <right style="thin"/>
      <top style="thin"/>
      <bottom style="medium"/>
    </border>
    <border>
      <left style="thin"/>
      <right/>
      <top/>
      <bottom style="thin"/>
    </border>
    <border>
      <left/>
      <right/>
      <top style="thin"/>
      <bottom style="thin"/>
    </border>
    <border>
      <left style="thin"/>
      <right/>
      <top style="thin"/>
      <bottom style="medium"/>
    </border>
    <border>
      <left/>
      <right style="thin"/>
      <top style="thin"/>
      <bottom style="medium"/>
    </border>
    <border>
      <left/>
      <right style="thin"/>
      <top style="thin"/>
      <bottom style="thin"/>
    </border>
    <border>
      <left style="thin"/>
      <right/>
      <top style="medium"/>
      <bottom style="thin"/>
    </border>
    <border>
      <left style="thin"/>
      <right style="thin"/>
      <top/>
      <bottom style="thin"/>
    </border>
    <border>
      <left style="thin"/>
      <right/>
      <top style="thin"/>
      <bottom/>
    </border>
    <border>
      <left/>
      <right style="thin"/>
      <top style="thin"/>
      <bottom/>
    </border>
    <border>
      <left/>
      <right style="thin"/>
      <top/>
      <bottom style="thin"/>
    </border>
    <border>
      <left/>
      <right style="thin"/>
      <top/>
      <bottom/>
    </border>
    <border>
      <left/>
      <right/>
      <top style="thin"/>
      <bottom style="medium"/>
    </border>
    <border>
      <left style="thin"/>
      <right style="thin"/>
      <top style="medium"/>
      <bottom/>
    </border>
    <border>
      <left style="thin"/>
      <right style="thin"/>
      <top/>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top style="medium"/>
      <bottom/>
    </border>
    <border>
      <left style="thin"/>
      <right/>
      <top/>
      <bottom style="medium"/>
    </border>
    <border>
      <left/>
      <right/>
      <top style="thin"/>
      <bottom/>
    </border>
    <border>
      <left/>
      <right/>
      <top style="double"/>
      <bottom style="medium"/>
    </border>
    <border>
      <left/>
      <right/>
      <top style="medium"/>
      <bottom style="thin"/>
    </border>
    <border>
      <left/>
      <right/>
      <top/>
      <bottom style="thin"/>
    </border>
    <border>
      <left/>
      <right style="thin"/>
      <top/>
      <bottom style="medium"/>
    </border>
    <border>
      <left/>
      <right/>
      <top/>
      <bottom style="mediu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thin"/>
      <bottom style="double"/>
    </border>
    <border>
      <left style="thin"/>
      <right/>
      <top style="thin"/>
      <bottom style="double"/>
    </border>
    <border>
      <left style="thin"/>
      <right style="thin"/>
      <top style="double"/>
      <bottom style="medium"/>
    </border>
    <border>
      <left style="thin"/>
      <right/>
      <top style="double"/>
      <bottom style="medium"/>
    </border>
    <border>
      <left/>
      <right style="thin"/>
      <top style="medium"/>
      <bottom style="thin"/>
    </border>
    <border>
      <left style="thin"/>
      <right/>
      <top/>
      <bottom/>
    </border>
    <border>
      <left/>
      <right/>
      <top style="thin"/>
      <bottom style="double"/>
    </border>
    <border>
      <left/>
      <right style="thin"/>
      <top style="thin"/>
      <bottom style="double"/>
    </border>
    <border>
      <left/>
      <right/>
      <top style="medium"/>
      <bottom/>
    </border>
    <border>
      <left style="thin"/>
      <right style="thin"/>
      <top/>
      <bottom/>
    </border>
    <border>
      <left style="thin"/>
      <right/>
      <top style="medium"/>
      <bottom style="medium"/>
    </border>
    <border>
      <left/>
      <right/>
      <top style="thick"/>
      <bottom style="medium"/>
    </border>
    <border>
      <left/>
      <right style="thin"/>
      <top style="double"/>
      <bottom style="medium"/>
    </border>
    <border>
      <left style="thin"/>
      <right style="thin"/>
      <top style="medium"/>
      <bottom style="medium"/>
    </border>
    <border>
      <left/>
      <right style="thin"/>
      <top style="medium"/>
      <bottom style="medium"/>
    </border>
    <border>
      <left/>
      <right style="medium"/>
      <top style="thin"/>
      <bottom style="thin"/>
    </border>
    <border>
      <left style="medium"/>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4">
    <xf numFmtId="0" fontId="0" fillId="0" borderId="0" xfId="0"/>
    <xf numFmtId="0" fontId="0" fillId="0" borderId="0" xfId="0" applyAlignment="1">
      <alignment horizontal="center"/>
    </xf>
    <xf numFmtId="0" fontId="0" fillId="0" borderId="1" xfId="0" applyFill="1" applyBorder="1" applyAlignment="1">
      <alignment horizontal="center"/>
    </xf>
    <xf numFmtId="0" fontId="2" fillId="0" borderId="0" xfId="0" applyFont="1" applyAlignment="1">
      <alignment horizontal="center"/>
    </xf>
    <xf numFmtId="0" fontId="2" fillId="0" borderId="0" xfId="0" applyFont="1"/>
    <xf numFmtId="0" fontId="0" fillId="0" borderId="0" xfId="0" applyFont="1" applyAlignment="1">
      <alignment horizontal="center"/>
    </xf>
    <xf numFmtId="0" fontId="0" fillId="0" borderId="0" xfId="0" applyFill="1" applyBorder="1"/>
    <xf numFmtId="166" fontId="0" fillId="0" borderId="0" xfId="0" applyNumberFormat="1" applyFill="1" applyBorder="1" applyAlignment="1">
      <alignment horizontal="center"/>
    </xf>
    <xf numFmtId="2" fontId="0" fillId="0" borderId="1" xfId="0" applyNumberFormat="1" applyBorder="1" applyAlignment="1">
      <alignment horizontal="center"/>
    </xf>
    <xf numFmtId="2" fontId="0" fillId="0" borderId="2" xfId="0" applyNumberFormat="1" applyBorder="1" applyAlignment="1">
      <alignment horizontal="center"/>
    </xf>
    <xf numFmtId="2" fontId="0" fillId="0" borderId="3" xfId="0" applyNumberFormat="1" applyFill="1" applyBorder="1" applyAlignment="1">
      <alignment horizontal="center"/>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Font="1"/>
    <xf numFmtId="0" fontId="0"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64" fontId="0" fillId="0" borderId="0" xfId="0" applyNumberFormat="1" applyFill="1" applyBorder="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0" fontId="2" fillId="0" borderId="0" xfId="0" applyFont="1" applyFill="1" applyBorder="1" applyAlignment="1">
      <alignment horizontal="center" vertical="top"/>
    </xf>
    <xf numFmtId="0" fontId="0" fillId="0" borderId="0" xfId="0"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164" fontId="0" fillId="0" borderId="0" xfId="0" applyNumberFormat="1" applyFont="1" applyFill="1" applyBorder="1" applyAlignment="1">
      <alignment horizontal="center"/>
    </xf>
    <xf numFmtId="0" fontId="0" fillId="0" borderId="0" xfId="0" applyFont="1" applyFill="1" applyBorder="1" applyAlignment="1">
      <alignment horizontal="center" vertical="center"/>
    </xf>
    <xf numFmtId="164" fontId="0" fillId="0" borderId="1" xfId="0" applyNumberFormat="1" applyFill="1" applyBorder="1" applyAlignment="1">
      <alignment horizontal="center"/>
    </xf>
    <xf numFmtId="2" fontId="0" fillId="0" borderId="1" xfId="0" applyNumberFormat="1" applyFill="1" applyBorder="1" applyAlignment="1">
      <alignment horizontal="center"/>
    </xf>
    <xf numFmtId="164" fontId="0" fillId="0" borderId="2" xfId="0" applyNumberFormat="1" applyFill="1" applyBorder="1" applyAlignment="1">
      <alignment horizontal="center"/>
    </xf>
    <xf numFmtId="2" fontId="0" fillId="0" borderId="0" xfId="0" applyNumberFormat="1" applyFont="1" applyFill="1" applyBorder="1" applyAlignment="1">
      <alignment horizontal="left"/>
    </xf>
    <xf numFmtId="164" fontId="0" fillId="0" borderId="3" xfId="0" applyNumberFormat="1" applyFill="1" applyBorder="1" applyAlignment="1">
      <alignment horizontal="center"/>
    </xf>
    <xf numFmtId="0" fontId="2" fillId="0" borderId="0" xfId="0" applyFont="1" applyBorder="1" applyAlignment="1">
      <alignment horizontal="center" vertical="top"/>
    </xf>
    <xf numFmtId="0" fontId="0" fillId="0" borderId="0" xfId="0" applyBorder="1" applyAlignment="1">
      <alignment horizontal="left"/>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2" fontId="1" fillId="0" borderId="0" xfId="0" applyNumberFormat="1" applyFont="1" applyFill="1" applyBorder="1" applyAlignment="1">
      <alignment horizontal="left"/>
    </xf>
    <xf numFmtId="0" fontId="0" fillId="0" borderId="0" xfId="0" applyFill="1" applyBorder="1" applyAlignment="1">
      <alignment vertical="center"/>
    </xf>
    <xf numFmtId="2" fontId="0" fillId="0" borderId="2" xfId="0" applyNumberFormat="1" applyFill="1" applyBorder="1" applyAlignment="1">
      <alignment horizontal="center"/>
    </xf>
    <xf numFmtId="20" fontId="0" fillId="0" borderId="0" xfId="0" applyNumberFormat="1" applyFont="1" applyAlignment="1" quotePrefix="1">
      <alignment horizontal="center"/>
    </xf>
    <xf numFmtId="0" fontId="0" fillId="0" borderId="0" xfId="0" applyFont="1" applyAlignment="1" quotePrefix="1">
      <alignment horizontal="center"/>
    </xf>
    <xf numFmtId="1" fontId="0" fillId="0" borderId="0" xfId="0" applyNumberFormat="1" applyFont="1"/>
    <xf numFmtId="0" fontId="7" fillId="0" borderId="0" xfId="0" applyFont="1"/>
    <xf numFmtId="0" fontId="2" fillId="0" borderId="4" xfId="0" applyFont="1" applyFill="1" applyBorder="1" applyAlignment="1">
      <alignment horizontal="center"/>
    </xf>
    <xf numFmtId="0" fontId="0" fillId="0" borderId="5" xfId="0" applyBorder="1" applyAlignment="1">
      <alignment/>
    </xf>
    <xf numFmtId="0" fontId="0" fillId="0" borderId="1" xfId="0" applyBorder="1" applyAlignment="1">
      <alignment horizontal="center"/>
    </xf>
    <xf numFmtId="0" fontId="2" fillId="0" borderId="1" xfId="0" applyFont="1" applyFill="1" applyBorder="1" applyAlignment="1">
      <alignment horizontal="center" wrapText="1"/>
    </xf>
    <xf numFmtId="0" fontId="0" fillId="0" borderId="3" xfId="0" applyBorder="1" applyAlignment="1">
      <alignment horizontal="center"/>
    </xf>
    <xf numFmtId="2" fontId="0" fillId="0" borderId="6" xfId="0" applyNumberFormat="1" applyFill="1" applyBorder="1" applyAlignment="1">
      <alignment horizontal="center"/>
    </xf>
    <xf numFmtId="164" fontId="0" fillId="0" borderId="6" xfId="0" applyNumberFormat="1" applyFill="1" applyBorder="1" applyAlignment="1">
      <alignment horizontal="center"/>
    </xf>
    <xf numFmtId="2" fontId="0" fillId="0" borderId="7" xfId="0" applyNumberFormat="1" applyFont="1" applyFill="1" applyBorder="1" applyAlignment="1">
      <alignment horizontal="left"/>
    </xf>
    <xf numFmtId="164" fontId="0" fillId="0" borderId="1" xfId="0" applyNumberFormat="1" applyFill="1" applyBorder="1" applyAlignment="1">
      <alignment horizontal="center" wrapText="1"/>
    </xf>
    <xf numFmtId="164" fontId="0" fillId="0" borderId="2" xfId="0" applyNumberFormat="1" applyFill="1" applyBorder="1" applyAlignment="1">
      <alignment horizontal="center" wrapText="1"/>
    </xf>
    <xf numFmtId="0" fontId="0" fillId="0" borderId="8" xfId="0" applyFont="1" applyFill="1" applyBorder="1" applyAlignment="1">
      <alignment horizontal="center"/>
    </xf>
    <xf numFmtId="0" fontId="2" fillId="0" borderId="1" xfId="0" applyFont="1" applyBorder="1" applyAlignment="1">
      <alignment horizontal="center" wrapText="1"/>
    </xf>
    <xf numFmtId="0" fontId="0" fillId="0" borderId="0" xfId="0" applyFont="1" applyFill="1" applyBorder="1" applyAlignment="1">
      <alignment vertical="center"/>
    </xf>
    <xf numFmtId="0" fontId="0" fillId="0" borderId="7" xfId="0" applyFont="1" applyFill="1" applyBorder="1" applyAlignment="1">
      <alignment horizontal="center"/>
    </xf>
    <xf numFmtId="0" fontId="2" fillId="0" borderId="0" xfId="0" applyFont="1" applyBorder="1" applyAlignment="1">
      <alignment horizontal="center"/>
    </xf>
    <xf numFmtId="0" fontId="0" fillId="0" borderId="0" xfId="0" applyBorder="1" applyAlignment="1">
      <alignment vertical="center"/>
    </xf>
    <xf numFmtId="0" fontId="0" fillId="0" borderId="0" xfId="0" applyFill="1" applyBorder="1" applyAlignment="1">
      <alignment wrapText="1"/>
    </xf>
    <xf numFmtId="0" fontId="0" fillId="0" borderId="0" xfId="0" applyBorder="1" applyAlignment="1">
      <alignment vertical="top"/>
    </xf>
    <xf numFmtId="1" fontId="0" fillId="0" borderId="0" xfId="0" applyNumberFormat="1" applyAlignment="1">
      <alignment horizontal="center"/>
    </xf>
    <xf numFmtId="2" fontId="0" fillId="0" borderId="0" xfId="0" applyNumberFormat="1" applyAlignment="1">
      <alignment horizontal="center"/>
    </xf>
    <xf numFmtId="2" fontId="0" fillId="0" borderId="9" xfId="0" applyNumberFormat="1" applyBorder="1" applyAlignment="1">
      <alignment horizontal="center"/>
    </xf>
    <xf numFmtId="166" fontId="2" fillId="0" borderId="1" xfId="0" applyNumberFormat="1" applyFont="1" applyFill="1" applyBorder="1" applyAlignment="1">
      <alignment horizontal="center"/>
    </xf>
    <xf numFmtId="164" fontId="0" fillId="0" borderId="10" xfId="0" applyNumberFormat="1" applyFill="1" applyBorder="1" applyAlignment="1">
      <alignment horizontal="center"/>
    </xf>
    <xf numFmtId="164" fontId="0" fillId="0" borderId="4" xfId="0" applyNumberFormat="1" applyFill="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vertical="top" wrapText="1"/>
    </xf>
    <xf numFmtId="164" fontId="0" fillId="0" borderId="0" xfId="0" applyNumberFormat="1" applyBorder="1" applyAlignment="1">
      <alignment horizontal="center"/>
    </xf>
    <xf numFmtId="0" fontId="0" fillId="0" borderId="0" xfId="0" applyFill="1"/>
    <xf numFmtId="0" fontId="2" fillId="0"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0" xfId="0" applyFill="1" applyBorder="1" applyAlignment="1" quotePrefix="1">
      <alignment horizontal="center" vertical="center" wrapText="1"/>
    </xf>
    <xf numFmtId="0" fontId="2" fillId="0" borderId="0" xfId="0" applyFont="1" applyFill="1" applyBorder="1" applyAlignment="1">
      <alignment horizontal="centerContinuous"/>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3" fontId="0" fillId="0" borderId="8" xfId="0" applyNumberFormat="1" applyFont="1" applyFill="1" applyBorder="1" applyAlignment="1">
      <alignment horizontal="center"/>
    </xf>
    <xf numFmtId="0" fontId="0" fillId="0" borderId="1" xfId="0" applyFill="1" applyBorder="1"/>
    <xf numFmtId="0" fontId="0" fillId="0" borderId="2" xfId="0" applyFill="1" applyBorder="1"/>
    <xf numFmtId="0" fontId="2" fillId="0" borderId="2" xfId="0" applyFont="1" applyFill="1" applyBorder="1" applyAlignment="1">
      <alignment horizontal="center" wrapText="1"/>
    </xf>
    <xf numFmtId="0" fontId="1" fillId="0" borderId="13" xfId="0" applyFont="1" applyBorder="1"/>
    <xf numFmtId="0" fontId="0" fillId="0" borderId="10" xfId="0" applyBorder="1"/>
    <xf numFmtId="0" fontId="2" fillId="0" borderId="1" xfId="0" applyFont="1" applyFill="1" applyBorder="1" applyAlignment="1">
      <alignment horizontal="center" vertical="top" wrapText="1"/>
    </xf>
    <xf numFmtId="0" fontId="0" fillId="0" borderId="0" xfId="0" applyBorder="1" applyAlignment="1">
      <alignment vertical="top" wrapText="1"/>
    </xf>
    <xf numFmtId="0" fontId="2" fillId="0" borderId="2" xfId="0" applyFont="1" applyFill="1" applyBorder="1" applyAlignment="1">
      <alignment horizontal="center" vertical="top" wrapText="1"/>
    </xf>
    <xf numFmtId="164" fontId="0" fillId="0" borderId="0" xfId="0" applyNumberForma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horizontal="center" vertical="top" wrapText="1"/>
    </xf>
    <xf numFmtId="2" fontId="0" fillId="0" borderId="6" xfId="0" applyNumberFormat="1" applyBorder="1" applyAlignment="1">
      <alignment horizontal="center"/>
    </xf>
    <xf numFmtId="2" fontId="0" fillId="0" borderId="3" xfId="0" applyNumberFormat="1" applyBorder="1" applyAlignment="1">
      <alignment horizontal="center"/>
    </xf>
    <xf numFmtId="0" fontId="0" fillId="0" borderId="8" xfId="0" applyFont="1" applyFill="1" applyBorder="1" applyAlignment="1">
      <alignment horizontal="left"/>
    </xf>
    <xf numFmtId="2" fontId="0" fillId="0" borderId="1" xfId="0" applyNumberFormat="1" applyFont="1" applyFill="1" applyBorder="1" applyAlignment="1" quotePrefix="1">
      <alignment horizontal="center"/>
    </xf>
    <xf numFmtId="2" fontId="0" fillId="0" borderId="2" xfId="0" applyNumberFormat="1" applyFont="1" applyFill="1" applyBorder="1" applyAlignment="1" quotePrefix="1">
      <alignment horizontal="center"/>
    </xf>
    <xf numFmtId="0" fontId="1" fillId="0" borderId="14" xfId="0" applyFont="1" applyFill="1" applyBorder="1" applyAlignment="1">
      <alignment horizontal="left"/>
    </xf>
    <xf numFmtId="2" fontId="0" fillId="0" borderId="1" xfId="0" applyNumberFormat="1" applyFont="1" applyBorder="1" applyAlignment="1" quotePrefix="1">
      <alignment horizontal="center"/>
    </xf>
    <xf numFmtId="2" fontId="0" fillId="0" borderId="2" xfId="0" applyNumberFormat="1" applyFont="1" applyBorder="1" applyAlignment="1" quotePrefix="1">
      <alignment horizontal="center"/>
    </xf>
    <xf numFmtId="0" fontId="0" fillId="0" borderId="8" xfId="0" applyFont="1" applyFill="1" applyBorder="1" applyAlignment="1">
      <alignment horizontal="left" vertical="center"/>
    </xf>
    <xf numFmtId="0" fontId="0" fillId="0" borderId="7" xfId="0" applyFont="1" applyBorder="1" applyAlignment="1">
      <alignment horizontal="left" vertical="center"/>
    </xf>
    <xf numFmtId="0" fontId="0" fillId="2" borderId="1" xfId="0" applyFill="1" applyBorder="1" applyAlignment="1">
      <alignment horizontal="center"/>
    </xf>
    <xf numFmtId="0" fontId="1" fillId="0" borderId="0" xfId="0" applyFont="1" applyBorder="1"/>
    <xf numFmtId="0" fontId="1" fillId="0" borderId="0" xfId="0" applyFont="1"/>
    <xf numFmtId="0" fontId="11" fillId="0" borderId="0" xfId="0" applyFont="1" applyAlignment="1">
      <alignment vertical="center"/>
    </xf>
    <xf numFmtId="0" fontId="13" fillId="3" borderId="5" xfId="0" applyFont="1" applyFill="1" applyBorder="1" applyAlignment="1">
      <alignment horizontal="left" vertical="center"/>
    </xf>
    <xf numFmtId="169" fontId="13" fillId="3" borderId="5" xfId="0" applyNumberFormat="1" applyFont="1" applyFill="1" applyBorder="1" applyAlignment="1">
      <alignment horizontal="left" vertical="center"/>
    </xf>
    <xf numFmtId="165" fontId="13" fillId="3" borderId="5" xfId="0" applyNumberFormat="1" applyFont="1" applyFill="1" applyBorder="1" applyAlignment="1">
      <alignment horizontal="left" vertical="center"/>
    </xf>
    <xf numFmtId="1" fontId="13" fillId="3" borderId="5" xfId="0" applyNumberFormat="1" applyFont="1" applyFill="1" applyBorder="1" applyAlignment="1">
      <alignment horizontal="left" vertical="center"/>
    </xf>
    <xf numFmtId="0" fontId="13" fillId="0" borderId="3" xfId="0" applyFont="1" applyFill="1" applyBorder="1" applyAlignment="1">
      <alignment vertical="center"/>
    </xf>
    <xf numFmtId="1" fontId="13" fillId="3" borderId="15" xfId="0" applyNumberFormat="1" applyFont="1" applyFill="1" applyBorder="1" applyAlignment="1">
      <alignment horizontal="left" vertical="center"/>
    </xf>
    <xf numFmtId="0" fontId="11" fillId="0" borderId="1" xfId="0" applyFont="1" applyBorder="1" applyAlignment="1">
      <alignment horizontal="left" vertical="center"/>
    </xf>
    <xf numFmtId="0" fontId="11" fillId="0" borderId="0" xfId="0" applyFont="1" applyAlignment="1">
      <alignment horizontal="center" vertical="center"/>
    </xf>
    <xf numFmtId="0" fontId="13" fillId="0" borderId="0" xfId="0" applyFont="1" applyFill="1" applyBorder="1" applyAlignment="1">
      <alignment horizontal="left" vertical="center"/>
    </xf>
    <xf numFmtId="0" fontId="12"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xf>
    <xf numFmtId="0" fontId="13" fillId="0" borderId="0" xfId="0" applyFont="1" applyFill="1" applyBorder="1" applyAlignment="1">
      <alignment/>
    </xf>
    <xf numFmtId="0" fontId="12" fillId="0" borderId="0" xfId="0" applyFont="1" applyFill="1" applyBorder="1" applyAlignment="1">
      <alignment horizontal="center"/>
    </xf>
    <xf numFmtId="0" fontId="13" fillId="0" borderId="0" xfId="0" applyFont="1" applyBorder="1"/>
    <xf numFmtId="0" fontId="13" fillId="0" borderId="0" xfId="0" applyFont="1" applyFill="1" applyBorder="1" applyAlignment="1">
      <alignment horizontal="center" vertical="center"/>
    </xf>
    <xf numFmtId="0" fontId="13" fillId="0" borderId="0" xfId="0" applyFont="1" applyFill="1" applyBorder="1" applyAlignment="1">
      <alignment vertical="center"/>
    </xf>
    <xf numFmtId="2" fontId="13" fillId="0" borderId="0" xfId="0" applyNumberFormat="1" applyFont="1" applyFill="1" applyBorder="1" applyAlignment="1">
      <alignment horizontal="center"/>
    </xf>
    <xf numFmtId="0" fontId="18" fillId="0" borderId="0" xfId="0" applyFont="1" applyFill="1" applyBorder="1" applyAlignment="1">
      <alignment vertical="center"/>
    </xf>
    <xf numFmtId="0" fontId="13" fillId="0" borderId="0" xfId="0" applyFont="1" applyBorder="1" applyAlignment="1">
      <alignment horizontal="center" vertical="center"/>
    </xf>
    <xf numFmtId="0" fontId="13" fillId="0" borderId="0" xfId="0" applyFont="1" applyAlignment="1">
      <alignment vertical="center"/>
    </xf>
    <xf numFmtId="0" fontId="13" fillId="0" borderId="18" xfId="0" applyFont="1" applyBorder="1" applyAlignment="1" quotePrefix="1">
      <alignment horizontal="center" vertical="center"/>
    </xf>
    <xf numFmtId="0" fontId="13" fillId="0" borderId="9" xfId="0" applyFont="1" applyBorder="1" applyAlignment="1" quotePrefix="1">
      <alignment horizontal="center" vertical="center"/>
    </xf>
    <xf numFmtId="0" fontId="13" fillId="0" borderId="0" xfId="0" applyFont="1" applyBorder="1" applyAlignment="1">
      <alignment horizontal="center" vertical="center" wrapText="1"/>
    </xf>
    <xf numFmtId="0" fontId="13" fillId="0" borderId="1" xfId="0" applyFont="1" applyBorder="1" applyAlignment="1">
      <alignment horizontal="center" vertical="center"/>
    </xf>
    <xf numFmtId="2" fontId="13"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13" fillId="0" borderId="2" xfId="0" applyNumberFormat="1" applyFont="1" applyBorder="1" applyAlignment="1">
      <alignment horizontal="center" vertical="center"/>
    </xf>
    <xf numFmtId="164" fontId="13"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2" fontId="13" fillId="0" borderId="0" xfId="0" applyNumberFormat="1" applyFont="1" applyBorder="1" applyAlignment="1">
      <alignment horizontal="center" vertical="center"/>
    </xf>
    <xf numFmtId="0" fontId="13" fillId="0" borderId="0" xfId="0" applyFont="1" applyAlignment="1">
      <alignment horizontal="center" vertical="center"/>
    </xf>
    <xf numFmtId="2"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xf>
    <xf numFmtId="0" fontId="13" fillId="0" borderId="0" xfId="0" applyFont="1" applyFill="1" applyBorder="1" applyAlignment="1">
      <alignment horizontal="left"/>
    </xf>
    <xf numFmtId="0" fontId="13" fillId="0" borderId="0" xfId="0" applyFont="1" applyBorder="1" applyAlignment="1" quotePrefix="1">
      <alignment horizontal="center" vertical="center" wrapText="1"/>
    </xf>
    <xf numFmtId="0" fontId="13" fillId="0" borderId="0" xfId="0" applyFont="1" applyBorder="1" applyAlignment="1">
      <alignment vertical="center"/>
    </xf>
    <xf numFmtId="164" fontId="13" fillId="0" borderId="0" xfId="0" applyNumberFormat="1" applyFont="1" applyFill="1" applyBorder="1" applyAlignment="1">
      <alignment horizontal="center" vertical="center"/>
    </xf>
    <xf numFmtId="0" fontId="13" fillId="0" borderId="0" xfId="0" applyFont="1" applyBorder="1" applyAlignment="1" quotePrefix="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164" fontId="13" fillId="0" borderId="3" xfId="0" applyNumberFormat="1" applyFont="1" applyBorder="1" applyAlignment="1">
      <alignment horizontal="center" vertical="center"/>
    </xf>
    <xf numFmtId="0" fontId="12" fillId="0" borderId="1" xfId="0" applyFont="1" applyBorder="1" applyAlignment="1">
      <alignment horizontal="center" vertical="center"/>
    </xf>
    <xf numFmtId="2" fontId="13" fillId="0" borderId="1" xfId="0" applyNumberFormat="1" applyFont="1" applyBorder="1" applyAlignment="1">
      <alignment horizontal="center" vertical="center" wrapText="1"/>
    </xf>
    <xf numFmtId="164" fontId="13" fillId="0" borderId="0" xfId="0" applyNumberFormat="1" applyFont="1" applyBorder="1" applyAlignment="1">
      <alignment horizontal="center" vertical="center" wrapText="1"/>
    </xf>
    <xf numFmtId="0" fontId="13" fillId="0" borderId="3" xfId="0" applyFont="1" applyBorder="1" applyAlignment="1" quotePrefix="1">
      <alignment horizontal="center" vertical="center"/>
    </xf>
    <xf numFmtId="2" fontId="13" fillId="0" borderId="3" xfId="0" applyNumberFormat="1" applyFont="1" applyBorder="1" applyAlignment="1">
      <alignment horizontal="center" vertical="center" wrapText="1"/>
    </xf>
    <xf numFmtId="166" fontId="27" fillId="0" borderId="1" xfId="0" applyNumberFormat="1" applyFont="1" applyFill="1" applyBorder="1" applyAlignment="1">
      <alignment horizontal="center" vertical="center" wrapText="1"/>
    </xf>
    <xf numFmtId="0" fontId="12" fillId="0" borderId="0" xfId="0" applyFont="1" applyBorder="1" applyAlignment="1">
      <alignment vertical="center"/>
    </xf>
    <xf numFmtId="0" fontId="13" fillId="0" borderId="0" xfId="0" applyFont="1" applyFill="1" applyBorder="1" applyAlignment="1" quotePrefix="1">
      <alignment horizontal="center"/>
    </xf>
    <xf numFmtId="0" fontId="13" fillId="0" borderId="0" xfId="0" applyFont="1" applyFill="1" applyBorder="1" applyAlignment="1">
      <alignment horizontal="center" vertical="center" wrapText="1"/>
    </xf>
    <xf numFmtId="0" fontId="13" fillId="0" borderId="1" xfId="0" applyFont="1" applyBorder="1" applyAlignment="1">
      <alignment vertical="center" wrapText="1"/>
    </xf>
    <xf numFmtId="0" fontId="13" fillId="0" borderId="2"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17" xfId="0" applyFont="1" applyFill="1" applyBorder="1" applyAlignment="1">
      <alignment horizontal="center" vertical="top" wrapText="1"/>
    </xf>
    <xf numFmtId="0" fontId="13" fillId="0" borderId="0" xfId="0" applyFont="1" applyFill="1" applyAlignment="1">
      <alignment vertical="center"/>
    </xf>
    <xf numFmtId="0" fontId="29" fillId="0" borderId="0" xfId="0" applyFont="1" applyAlignment="1">
      <alignment vertical="center"/>
    </xf>
    <xf numFmtId="0" fontId="12" fillId="0" borderId="0" xfId="0" applyFont="1" applyFill="1" applyBorder="1" applyAlignment="1">
      <alignment vertical="center"/>
    </xf>
    <xf numFmtId="164" fontId="13" fillId="0" borderId="0" xfId="0" applyNumberFormat="1" applyFont="1" applyAlignment="1">
      <alignment vertical="center"/>
    </xf>
    <xf numFmtId="0" fontId="13" fillId="4" borderId="19" xfId="0" applyFont="1" applyFill="1" applyBorder="1" applyAlignment="1">
      <alignment horizontal="left" vertical="center"/>
    </xf>
    <xf numFmtId="3" fontId="13" fillId="4" borderId="20" xfId="0" applyNumberFormat="1" applyFont="1" applyFill="1" applyBorder="1" applyAlignment="1">
      <alignment horizontal="left" vertical="center"/>
    </xf>
    <xf numFmtId="0" fontId="13" fillId="4" borderId="21" xfId="0" applyFont="1" applyFill="1" applyBorder="1" applyAlignment="1">
      <alignment horizontal="left" vertical="center"/>
    </xf>
    <xf numFmtId="3" fontId="13" fillId="0" borderId="0" xfId="0" applyNumberFormat="1" applyFont="1" applyFill="1" applyBorder="1" applyAlignment="1">
      <alignment vertical="center"/>
    </xf>
    <xf numFmtId="0" fontId="13" fillId="0" borderId="0" xfId="0" applyFont="1" applyAlignment="1">
      <alignment horizontal="right" vertical="center"/>
    </xf>
    <xf numFmtId="164" fontId="13" fillId="0" borderId="0" xfId="0" applyNumberFormat="1" applyFont="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Fill="1" applyBorder="1" applyAlignment="1" quotePrefix="1">
      <alignment horizontal="center" vertical="center"/>
    </xf>
    <xf numFmtId="2" fontId="13" fillId="0" borderId="2" xfId="0" applyNumberFormat="1" applyFont="1" applyBorder="1" applyAlignment="1">
      <alignment horizontal="center" vertical="center"/>
    </xf>
    <xf numFmtId="164" fontId="13" fillId="0" borderId="6" xfId="0" applyNumberFormat="1" applyFont="1" applyBorder="1" applyAlignment="1">
      <alignment horizontal="center" vertical="center"/>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164" fontId="13" fillId="0" borderId="3" xfId="0" applyNumberFormat="1" applyFont="1" applyBorder="1" applyAlignment="1" quotePrefix="1">
      <alignment horizontal="center" vertical="center"/>
    </xf>
    <xf numFmtId="2" fontId="13" fillId="0" borderId="3" xfId="0" applyNumberFormat="1" applyFont="1" applyBorder="1" applyAlignment="1" quotePrefix="1">
      <alignment horizontal="center" vertical="center"/>
    </xf>
    <xf numFmtId="2" fontId="13" fillId="0" borderId="3" xfId="0" applyNumberFormat="1" applyFont="1" applyBorder="1" applyAlignment="1">
      <alignment horizontal="center" vertical="center"/>
    </xf>
    <xf numFmtId="166" fontId="13" fillId="0" borderId="0" xfId="0" applyNumberFormat="1" applyFont="1" applyAlignment="1">
      <alignment vertical="center"/>
    </xf>
    <xf numFmtId="0" fontId="12"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13" fillId="0" borderId="0" xfId="0" applyNumberFormat="1" applyFont="1" applyAlignment="1">
      <alignment vertical="center"/>
    </xf>
    <xf numFmtId="164"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3" fillId="4" borderId="19" xfId="0" applyFont="1" applyFill="1" applyBorder="1" applyAlignment="1">
      <alignment horizontal="right" vertical="center"/>
    </xf>
    <xf numFmtId="3" fontId="13" fillId="4" borderId="20" xfId="0" applyNumberFormat="1" applyFont="1" applyFill="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left" vertical="center"/>
    </xf>
    <xf numFmtId="166" fontId="13" fillId="0" borderId="0" xfId="0" applyNumberFormat="1" applyFont="1" applyBorder="1" applyAlignment="1">
      <alignment horizontal="center" vertical="center"/>
    </xf>
    <xf numFmtId="0" fontId="13" fillId="0" borderId="25" xfId="0" applyFont="1" applyFill="1" applyBorder="1" applyAlignment="1">
      <alignment/>
    </xf>
    <xf numFmtId="0" fontId="13" fillId="0" borderId="0" xfId="0" applyFont="1" applyFill="1" applyBorder="1" applyAlignment="1">
      <alignment vertical="top"/>
    </xf>
    <xf numFmtId="49" fontId="13"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2" fontId="13" fillId="0" borderId="0" xfId="0" applyNumberFormat="1" applyFont="1" applyFill="1" applyBorder="1" applyAlignment="1">
      <alignment horizontal="center" vertical="top"/>
    </xf>
    <xf numFmtId="0" fontId="12" fillId="0" borderId="0" xfId="0" applyFont="1" applyFill="1" applyBorder="1" applyAlignment="1">
      <alignment horizontal="center" vertical="top"/>
    </xf>
    <xf numFmtId="49" fontId="12" fillId="0" borderId="0" xfId="0" applyNumberFormat="1" applyFont="1" applyFill="1" applyBorder="1" applyAlignment="1">
      <alignment horizontal="center"/>
    </xf>
    <xf numFmtId="0" fontId="13" fillId="0" borderId="0" xfId="0" applyFont="1" applyFill="1" applyBorder="1" applyAlignment="1">
      <alignment horizontal="center" vertical="top"/>
    </xf>
    <xf numFmtId="1" fontId="13" fillId="0" borderId="0" xfId="0" applyNumberFormat="1" applyFont="1" applyFill="1" applyBorder="1" applyAlignment="1">
      <alignment horizontal="center" vertical="center"/>
    </xf>
    <xf numFmtId="164" fontId="12" fillId="0" borderId="0" xfId="0" applyNumberFormat="1" applyFont="1" applyFill="1" applyBorder="1" applyAlignment="1">
      <alignment horizontal="center"/>
    </xf>
    <xf numFmtId="166" fontId="13" fillId="0" borderId="0" xfId="0" applyNumberFormat="1" applyFont="1" applyFill="1" applyBorder="1" applyAlignment="1">
      <alignment/>
    </xf>
    <xf numFmtId="0" fontId="34" fillId="0" borderId="0" xfId="0" applyFont="1" applyFill="1" applyBorder="1" applyAlignment="1">
      <alignment horizontal="left"/>
    </xf>
    <xf numFmtId="164" fontId="13" fillId="0" borderId="0" xfId="0" applyNumberFormat="1" applyFont="1" applyFill="1" applyBorder="1" applyAlignment="1">
      <alignment horizontal="left"/>
    </xf>
    <xf numFmtId="0" fontId="35" fillId="0" borderId="0" xfId="0" applyFont="1" applyAlignment="1">
      <alignment vertical="center"/>
    </xf>
    <xf numFmtId="0" fontId="13" fillId="0" borderId="0" xfId="0" applyFont="1" applyBorder="1" applyAlignment="1">
      <alignment horizontal="center" vertical="center"/>
    </xf>
    <xf numFmtId="0" fontId="12" fillId="0" borderId="5"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27" xfId="0" applyFont="1" applyFill="1" applyBorder="1" applyAlignment="1">
      <alignment/>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0" xfId="0" applyFont="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169" fontId="13" fillId="0" borderId="1" xfId="0" applyNumberFormat="1" applyFont="1" applyFill="1" applyBorder="1" applyAlignment="1">
      <alignment horizontal="left" vertical="center"/>
    </xf>
    <xf numFmtId="165" fontId="13" fillId="0" borderId="1" xfId="0" applyNumberFormat="1" applyFont="1" applyFill="1" applyBorder="1" applyAlignment="1">
      <alignment horizontal="left" vertical="center"/>
    </xf>
    <xf numFmtId="1" fontId="13" fillId="0" borderId="1" xfId="0" applyNumberFormat="1" applyFont="1" applyFill="1" applyBorder="1" applyAlignment="1">
      <alignment horizontal="left" vertical="center"/>
    </xf>
    <xf numFmtId="1" fontId="13" fillId="0" borderId="3" xfId="0" applyNumberFormat="1" applyFont="1" applyFill="1" applyBorder="1" applyAlignment="1">
      <alignment horizontal="left" vertical="center"/>
    </xf>
    <xf numFmtId="0" fontId="19" fillId="0" borderId="25" xfId="0" applyFont="1" applyFill="1" applyBorder="1" applyAlignment="1">
      <alignment vertical="center"/>
    </xf>
    <xf numFmtId="0" fontId="19" fillId="0" borderId="0" xfId="0" applyFont="1" applyFill="1" applyBorder="1" applyAlignment="1">
      <alignment vertical="center"/>
    </xf>
    <xf numFmtId="0" fontId="13" fillId="0" borderId="25" xfId="0" applyFont="1" applyFill="1" applyBorder="1" applyAlignment="1">
      <alignment vertical="center"/>
    </xf>
    <xf numFmtId="0" fontId="36" fillId="0" borderId="25" xfId="0" applyFont="1" applyFill="1" applyBorder="1" applyAlignment="1">
      <alignment vertical="center" wrapText="1"/>
    </xf>
    <xf numFmtId="0" fontId="36" fillId="0" borderId="0" xfId="0" applyFont="1" applyFill="1" applyBorder="1" applyAlignment="1">
      <alignment vertical="center" wrapText="1"/>
    </xf>
    <xf numFmtId="0" fontId="13" fillId="0" borderId="0" xfId="0" applyFont="1" applyFill="1" applyBorder="1" applyAlignment="1">
      <alignment vertical="center"/>
    </xf>
    <xf numFmtId="0" fontId="13" fillId="5" borderId="5" xfId="0" applyFont="1" applyFill="1" applyBorder="1" applyAlignment="1">
      <alignment horizontal="left" vertical="center"/>
    </xf>
    <xf numFmtId="169" fontId="13" fillId="5" borderId="5" xfId="0" applyNumberFormat="1" applyFont="1" applyFill="1" applyBorder="1" applyAlignment="1">
      <alignment horizontal="left" vertical="center"/>
    </xf>
    <xf numFmtId="165" fontId="13" fillId="5" borderId="5" xfId="0" applyNumberFormat="1" applyFont="1" applyFill="1" applyBorder="1" applyAlignment="1">
      <alignment horizontal="left" vertical="center"/>
    </xf>
    <xf numFmtId="1" fontId="13" fillId="5" borderId="5" xfId="0" applyNumberFormat="1" applyFont="1" applyFill="1" applyBorder="1" applyAlignment="1">
      <alignment horizontal="left" vertical="center"/>
    </xf>
    <xf numFmtId="166" fontId="13" fillId="0" borderId="28" xfId="0" applyNumberFormat="1" applyFont="1" applyFill="1" applyBorder="1" applyAlignment="1">
      <alignment horizontal="left"/>
    </xf>
    <xf numFmtId="166" fontId="13" fillId="0" borderId="5" xfId="0" applyNumberFormat="1" applyFont="1" applyFill="1" applyBorder="1" applyAlignment="1">
      <alignment horizontal="left" vertical="center"/>
    </xf>
    <xf numFmtId="166" fontId="13" fillId="0" borderId="0" xfId="0" applyNumberFormat="1" applyFont="1" applyAlignment="1">
      <alignment horizontal="center" vertical="center"/>
    </xf>
    <xf numFmtId="0" fontId="11" fillId="6" borderId="0" xfId="0" applyFont="1" applyFill="1" applyBorder="1" applyAlignment="1">
      <alignment vertical="center"/>
    </xf>
    <xf numFmtId="0" fontId="16" fillId="6" borderId="0" xfId="0" applyFont="1" applyFill="1" applyBorder="1" applyAlignment="1">
      <alignment horizontal="center" vertical="center"/>
    </xf>
    <xf numFmtId="0" fontId="13" fillId="6" borderId="0" xfId="0" applyFont="1" applyFill="1"/>
    <xf numFmtId="0" fontId="13" fillId="6" borderId="0" xfId="0" applyFont="1" applyFill="1" applyBorder="1" applyAlignment="1">
      <alignment horizontal="center"/>
    </xf>
    <xf numFmtId="0" fontId="20" fillId="0" borderId="3" xfId="0" applyFont="1" applyBorder="1" applyAlignment="1">
      <alignment horizontal="center" vertical="center"/>
    </xf>
    <xf numFmtId="0" fontId="13" fillId="0" borderId="0" xfId="0" applyFont="1" applyBorder="1" applyAlignment="1">
      <alignment horizontal="center" vertical="center"/>
    </xf>
    <xf numFmtId="0" fontId="38" fillId="0" borderId="0" xfId="0" applyFont="1" applyAlignment="1">
      <alignment horizontal="center"/>
    </xf>
    <xf numFmtId="166" fontId="13" fillId="0" borderId="18" xfId="0" applyNumberFormat="1" applyFont="1" applyBorder="1" applyAlignment="1">
      <alignment horizontal="center" vertical="center"/>
    </xf>
    <xf numFmtId="172" fontId="13" fillId="0" borderId="25" xfId="0" applyNumberFormat="1" applyFont="1" applyFill="1" applyBorder="1" applyAlignment="1">
      <alignment vertical="center"/>
    </xf>
    <xf numFmtId="172" fontId="13" fillId="0" borderId="0" xfId="0" applyNumberFormat="1" applyFont="1" applyFill="1" applyBorder="1" applyAlignment="1">
      <alignment vertical="center"/>
    </xf>
    <xf numFmtId="0" fontId="11" fillId="0" borderId="0" xfId="0" applyFont="1" applyAlignment="1" applyProtection="1">
      <alignment horizontal="center" vertical="center"/>
      <protection locked="0"/>
    </xf>
    <xf numFmtId="169" fontId="13" fillId="3" borderId="2" xfId="0" applyNumberFormat="1" applyFont="1" applyFill="1" applyBorder="1" applyAlignment="1" applyProtection="1">
      <alignment horizontal="left" vertical="center"/>
      <protection locked="0"/>
    </xf>
    <xf numFmtId="165" fontId="13" fillId="3" borderId="2" xfId="0" applyNumberFormat="1"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169" fontId="13" fillId="5" borderId="5" xfId="0" applyNumberFormat="1" applyFont="1" applyFill="1" applyBorder="1" applyAlignment="1" applyProtection="1">
      <alignment horizontal="left" vertical="center"/>
      <protection locked="0"/>
    </xf>
    <xf numFmtId="165" fontId="13" fillId="5" borderId="5" xfId="0" applyNumberFormat="1" applyFont="1" applyFill="1" applyBorder="1" applyAlignment="1" applyProtection="1">
      <alignment horizontal="left" vertical="center"/>
      <protection locked="0"/>
    </xf>
    <xf numFmtId="1" fontId="13" fillId="5" borderId="5" xfId="0" applyNumberFormat="1" applyFont="1" applyFill="1" applyBorder="1" applyAlignment="1" applyProtection="1">
      <alignment horizontal="left" vertical="center"/>
      <protection locked="0"/>
    </xf>
    <xf numFmtId="1" fontId="13" fillId="3" borderId="15" xfId="0" applyNumberFormat="1" applyFont="1" applyFill="1" applyBorder="1" applyAlignment="1" applyProtection="1">
      <alignment horizontal="left" vertical="center"/>
      <protection locked="0"/>
    </xf>
    <xf numFmtId="0" fontId="14" fillId="0" borderId="0" xfId="0" applyFont="1" applyBorder="1" applyAlignment="1" applyProtection="1">
      <alignment horizontal="center" vertical="center"/>
      <protection locked="0"/>
    </xf>
    <xf numFmtId="0" fontId="7"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0" fontId="40" fillId="0" borderId="0" xfId="0" applyFont="1" applyAlignment="1">
      <alignment vertical="center"/>
    </xf>
    <xf numFmtId="0" fontId="0" fillId="3" borderId="1" xfId="0" applyFill="1" applyBorder="1" applyAlignment="1">
      <alignment vertical="center"/>
    </xf>
    <xf numFmtId="0" fontId="0" fillId="7" borderId="1" xfId="0" applyFill="1" applyBorder="1" applyAlignment="1">
      <alignment vertical="center"/>
    </xf>
    <xf numFmtId="0" fontId="0" fillId="8" borderId="1" xfId="0" applyFill="1" applyBorder="1" applyAlignment="1">
      <alignment vertical="center"/>
    </xf>
    <xf numFmtId="0" fontId="7" fillId="0" borderId="0" xfId="0" applyFont="1" applyFill="1" applyBorder="1" applyAlignment="1">
      <alignment vertical="center"/>
    </xf>
    <xf numFmtId="0" fontId="9" fillId="0" borderId="0" xfId="0" applyFont="1" applyAlignment="1">
      <alignment vertical="center"/>
    </xf>
    <xf numFmtId="0" fontId="11" fillId="0" borderId="10" xfId="0" applyFont="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Border="1" applyAlignment="1">
      <alignment horizontal="center" vertical="center"/>
    </xf>
    <xf numFmtId="0" fontId="44" fillId="0" borderId="0" xfId="0" applyFont="1" applyFill="1" applyBorder="1" applyAlignment="1">
      <alignment/>
    </xf>
    <xf numFmtId="0" fontId="20" fillId="0" borderId="6" xfId="0" applyFont="1" applyBorder="1" applyAlignment="1">
      <alignment horizontal="center" vertical="center"/>
    </xf>
    <xf numFmtId="166" fontId="13" fillId="0" borderId="9" xfId="0" applyNumberFormat="1" applyFont="1" applyBorder="1" applyAlignment="1">
      <alignment horizontal="center" vertical="center"/>
    </xf>
    <xf numFmtId="0" fontId="12"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29"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center" vertical="center"/>
    </xf>
    <xf numFmtId="171" fontId="13" fillId="0" borderId="0" xfId="0" applyNumberFormat="1" applyFont="1" applyFill="1" applyBorder="1" applyAlignment="1">
      <alignment horizontal="center" vertical="center"/>
    </xf>
    <xf numFmtId="0" fontId="12" fillId="0" borderId="30" xfId="0" applyFont="1" applyBorder="1" applyAlignment="1">
      <alignment horizontal="centerContinuous" vertical="center"/>
    </xf>
    <xf numFmtId="0" fontId="12" fillId="0" borderId="20" xfId="0" applyFont="1" applyBorder="1" applyAlignment="1">
      <alignment horizontal="centerContinuous" vertical="center"/>
    </xf>
    <xf numFmtId="0" fontId="13" fillId="0" borderId="0" xfId="0" applyFont="1" applyFill="1" applyBorder="1" applyAlignment="1">
      <alignment horizontal="left"/>
    </xf>
    <xf numFmtId="0" fontId="13" fillId="0" borderId="0" xfId="0" applyFont="1" applyFill="1" applyBorder="1" applyAlignment="1">
      <alignment/>
    </xf>
    <xf numFmtId="0" fontId="13" fillId="0" borderId="0" xfId="0" applyFont="1" applyFill="1" applyBorder="1" applyAlignment="1">
      <alignment vertical="top"/>
    </xf>
    <xf numFmtId="0" fontId="12" fillId="0" borderId="0" xfId="0" applyFont="1" applyFill="1" applyBorder="1" applyAlignment="1">
      <alignment horizontal="left"/>
    </xf>
    <xf numFmtId="0" fontId="20" fillId="0" borderId="0" xfId="0" applyFont="1" applyBorder="1" applyAlignment="1">
      <alignment horizontal="center" vertical="center"/>
    </xf>
    <xf numFmtId="0" fontId="45" fillId="0" borderId="0" xfId="0" applyFont="1" applyFill="1" applyBorder="1" applyAlignment="1">
      <alignment vertical="top" wrapText="1"/>
    </xf>
    <xf numFmtId="0" fontId="12" fillId="0" borderId="28" xfId="0" applyFont="1" applyFill="1" applyBorder="1" applyAlignment="1">
      <alignment horizontal="centerContinuous" vertical="center" wrapText="1"/>
    </xf>
    <xf numFmtId="0" fontId="12" fillId="0" borderId="13" xfId="0" applyFont="1" applyFill="1" applyBorder="1" applyAlignment="1">
      <alignment horizontal="centerContinuous" vertical="center" wrapText="1"/>
    </xf>
    <xf numFmtId="0" fontId="13" fillId="0" borderId="31" xfId="0" applyFont="1" applyBorder="1" applyAlignment="1">
      <alignment horizontal="center" vertical="center"/>
    </xf>
    <xf numFmtId="166" fontId="13" fillId="0" borderId="17" xfId="0" applyNumberFormat="1" applyFont="1" applyBorder="1" applyAlignment="1">
      <alignment horizontal="center" vertical="center"/>
    </xf>
    <xf numFmtId="166" fontId="13" fillId="0" borderId="24" xfId="0" applyNumberFormat="1" applyFont="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quotePrefix="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46" fillId="0" borderId="0" xfId="0" applyFont="1" applyAlignment="1">
      <alignment vertical="center"/>
    </xf>
    <xf numFmtId="0" fontId="0" fillId="9" borderId="1" xfId="0" applyFill="1" applyBorder="1" applyAlignment="1">
      <alignment vertical="center"/>
    </xf>
    <xf numFmtId="0" fontId="13" fillId="9" borderId="32" xfId="0" applyFont="1" applyFill="1" applyBorder="1" applyAlignment="1" applyProtection="1">
      <alignment vertical="center"/>
      <protection locked="0"/>
    </xf>
    <xf numFmtId="0" fontId="13" fillId="9" borderId="33" xfId="0" applyFont="1" applyFill="1" applyBorder="1" applyAlignment="1" applyProtection="1">
      <alignment vertical="center"/>
      <protection locked="0"/>
    </xf>
    <xf numFmtId="0" fontId="11" fillId="9" borderId="34" xfId="0" applyFont="1" applyFill="1" applyBorder="1" applyAlignment="1" applyProtection="1">
      <alignment vertical="center"/>
      <protection locked="0"/>
    </xf>
    <xf numFmtId="0" fontId="13" fillId="9" borderId="35" xfId="0" applyFont="1" applyFill="1" applyBorder="1" applyAlignment="1" applyProtection="1">
      <alignment vertical="center"/>
      <protection locked="0"/>
    </xf>
    <xf numFmtId="0" fontId="13" fillId="9" borderId="0" xfId="0" applyFont="1" applyFill="1" applyBorder="1" applyAlignment="1" applyProtection="1">
      <alignment vertical="center"/>
      <protection locked="0"/>
    </xf>
    <xf numFmtId="0" fontId="11" fillId="9" borderId="36" xfId="0" applyFont="1" applyFill="1" applyBorder="1" applyAlignment="1" applyProtection="1">
      <alignment vertical="center"/>
      <protection locked="0"/>
    </xf>
    <xf numFmtId="0" fontId="35" fillId="9" borderId="35" xfId="0" applyFont="1" applyFill="1" applyBorder="1" applyAlignment="1" applyProtection="1">
      <alignment vertical="center"/>
      <protection locked="0"/>
    </xf>
    <xf numFmtId="0" fontId="35" fillId="9" borderId="0" xfId="0" applyFont="1" applyFill="1" applyBorder="1" applyAlignment="1" applyProtection="1">
      <alignment vertical="center"/>
      <protection locked="0"/>
    </xf>
    <xf numFmtId="0" fontId="35" fillId="9" borderId="37" xfId="0" applyFont="1" applyFill="1" applyBorder="1" applyAlignment="1" applyProtection="1">
      <alignment vertical="center"/>
      <protection locked="0"/>
    </xf>
    <xf numFmtId="0" fontId="35" fillId="9" borderId="38" xfId="0" applyFont="1" applyFill="1" applyBorder="1" applyAlignment="1" applyProtection="1">
      <alignment vertical="center"/>
      <protection locked="0"/>
    </xf>
    <xf numFmtId="0" fontId="13" fillId="9" borderId="38" xfId="0" applyFont="1" applyFill="1" applyBorder="1" applyAlignment="1" applyProtection="1">
      <alignment vertical="center"/>
      <protection locked="0"/>
    </xf>
    <xf numFmtId="0" fontId="11" fillId="9" borderId="39" xfId="0" applyFont="1" applyFill="1" applyBorder="1" applyAlignment="1" applyProtection="1">
      <alignment vertical="center"/>
      <protection locked="0"/>
    </xf>
    <xf numFmtId="0" fontId="13" fillId="9" borderId="32" xfId="0" applyFont="1" applyFill="1" applyBorder="1" applyProtection="1">
      <protection locked="0"/>
    </xf>
    <xf numFmtId="0" fontId="13" fillId="9" borderId="33" xfId="0" applyFont="1" applyFill="1" applyBorder="1" applyProtection="1">
      <protection locked="0"/>
    </xf>
    <xf numFmtId="0" fontId="13" fillId="9" borderId="34" xfId="0" applyFont="1" applyFill="1" applyBorder="1" applyProtection="1">
      <protection locked="0"/>
    </xf>
    <xf numFmtId="0" fontId="13" fillId="9" borderId="35" xfId="0" applyFont="1" applyFill="1" applyBorder="1" applyProtection="1">
      <protection locked="0"/>
    </xf>
    <xf numFmtId="0" fontId="13" fillId="9" borderId="0" xfId="0" applyFont="1" applyFill="1" applyBorder="1" applyProtection="1">
      <protection locked="0"/>
    </xf>
    <xf numFmtId="0" fontId="13" fillId="9" borderId="36" xfId="0" applyFont="1" applyFill="1" applyBorder="1" applyProtection="1">
      <protection locked="0"/>
    </xf>
    <xf numFmtId="164" fontId="13" fillId="9" borderId="35" xfId="0" applyNumberFormat="1" applyFont="1" applyFill="1" applyBorder="1" applyAlignment="1" applyProtection="1">
      <alignment horizontal="center"/>
      <protection locked="0"/>
    </xf>
    <xf numFmtId="164" fontId="13" fillId="9" borderId="0" xfId="0" applyNumberFormat="1" applyFont="1" applyFill="1" applyBorder="1" applyAlignment="1" applyProtection="1">
      <alignment horizontal="center"/>
      <protection locked="0"/>
    </xf>
    <xf numFmtId="166" fontId="13" fillId="9" borderId="0" xfId="0" applyNumberFormat="1" applyFont="1" applyFill="1" applyBorder="1" applyAlignment="1" applyProtection="1">
      <alignment horizontal="center"/>
      <protection locked="0"/>
    </xf>
    <xf numFmtId="0" fontId="13" fillId="9" borderId="0" xfId="0" applyFont="1" applyFill="1" applyBorder="1" applyAlignment="1" applyProtection="1">
      <alignment/>
      <protection locked="0"/>
    </xf>
    <xf numFmtId="0" fontId="13" fillId="9" borderId="36" xfId="0" applyFont="1" applyFill="1" applyBorder="1" applyAlignment="1" applyProtection="1">
      <alignment/>
      <protection locked="0"/>
    </xf>
    <xf numFmtId="0" fontId="12" fillId="9" borderId="35" xfId="0" applyFont="1" applyFill="1" applyBorder="1" applyAlignment="1" applyProtection="1">
      <alignment horizontal="center" vertical="top"/>
      <protection locked="0"/>
    </xf>
    <xf numFmtId="0" fontId="12" fillId="9" borderId="0" xfId="0" applyFont="1" applyFill="1" applyBorder="1" applyAlignment="1" applyProtection="1">
      <alignment horizontal="center" vertical="top"/>
      <protection locked="0"/>
    </xf>
    <xf numFmtId="0" fontId="13" fillId="9" borderId="0" xfId="0" applyFont="1" applyFill="1" applyBorder="1" applyAlignment="1" applyProtection="1">
      <alignment vertical="top"/>
      <protection locked="0"/>
    </xf>
    <xf numFmtId="0" fontId="12" fillId="9" borderId="0" xfId="0" applyFont="1" applyFill="1" applyBorder="1" applyAlignment="1" applyProtection="1">
      <alignment horizontal="center"/>
      <protection locked="0"/>
    </xf>
    <xf numFmtId="49" fontId="12" fillId="9" borderId="35" xfId="0" applyNumberFormat="1" applyFont="1" applyFill="1" applyBorder="1" applyAlignment="1" applyProtection="1">
      <alignment horizontal="center"/>
      <protection locked="0"/>
    </xf>
    <xf numFmtId="0" fontId="13" fillId="9" borderId="35" xfId="0" applyFont="1" applyFill="1" applyBorder="1" applyAlignment="1" applyProtection="1">
      <alignment horizontal="center" vertical="top"/>
      <protection locked="0"/>
    </xf>
    <xf numFmtId="0" fontId="13" fillId="9" borderId="0" xfId="0" applyFont="1" applyFill="1" applyBorder="1" applyAlignment="1" applyProtection="1">
      <alignment horizontal="center" vertical="top"/>
      <protection locked="0"/>
    </xf>
    <xf numFmtId="0" fontId="13" fillId="9" borderId="0" xfId="0" applyFont="1" applyFill="1" applyBorder="1" applyAlignment="1" applyProtection="1">
      <alignment horizontal="center"/>
      <protection locked="0"/>
    </xf>
    <xf numFmtId="164" fontId="13" fillId="9" borderId="37" xfId="0" applyNumberFormat="1" applyFont="1" applyFill="1" applyBorder="1" applyAlignment="1" applyProtection="1">
      <alignment horizontal="center"/>
      <protection locked="0"/>
    </xf>
    <xf numFmtId="164" fontId="13" fillId="9" borderId="38" xfId="0" applyNumberFormat="1" applyFont="1" applyFill="1" applyBorder="1" applyAlignment="1" applyProtection="1">
      <alignment horizontal="center"/>
      <protection locked="0"/>
    </xf>
    <xf numFmtId="166" fontId="13" fillId="9" borderId="38" xfId="0" applyNumberFormat="1" applyFont="1" applyFill="1" applyBorder="1" applyAlignment="1" applyProtection="1">
      <alignment horizontal="center"/>
      <protection locked="0"/>
    </xf>
    <xf numFmtId="0" fontId="13" fillId="9" borderId="38" xfId="0" applyFont="1" applyFill="1" applyBorder="1" applyAlignment="1" applyProtection="1">
      <alignment/>
      <protection locked="0"/>
    </xf>
    <xf numFmtId="0" fontId="13" fillId="9" borderId="39" xfId="0" applyFont="1" applyFill="1" applyBorder="1" applyAlignment="1" applyProtection="1">
      <alignment/>
      <protection locked="0"/>
    </xf>
    <xf numFmtId="0" fontId="13" fillId="9" borderId="34" xfId="0" applyFont="1" applyFill="1" applyBorder="1" applyAlignment="1" applyProtection="1">
      <alignment vertical="center"/>
      <protection locked="0"/>
    </xf>
    <xf numFmtId="0" fontId="13" fillId="9" borderId="36" xfId="0" applyFont="1" applyFill="1" applyBorder="1" applyAlignment="1" applyProtection="1">
      <alignment vertical="center"/>
      <protection locked="0"/>
    </xf>
    <xf numFmtId="2" fontId="13" fillId="9" borderId="35" xfId="0" applyNumberFormat="1" applyFont="1" applyFill="1" applyBorder="1" applyAlignment="1" applyProtection="1">
      <alignment horizontal="center" vertical="center"/>
      <protection locked="0"/>
    </xf>
    <xf numFmtId="2" fontId="13" fillId="9" borderId="0" xfId="0" applyNumberFormat="1" applyFont="1" applyFill="1" applyBorder="1" applyAlignment="1" applyProtection="1">
      <alignment horizontal="center" vertical="center"/>
      <protection locked="0"/>
    </xf>
    <xf numFmtId="2" fontId="13" fillId="9" borderId="36" xfId="0" applyNumberFormat="1" applyFont="1" applyFill="1" applyBorder="1" applyAlignment="1" applyProtection="1">
      <alignment horizontal="center" vertical="center"/>
      <protection locked="0"/>
    </xf>
    <xf numFmtId="0" fontId="13" fillId="9" borderId="37" xfId="0" applyFont="1" applyFill="1" applyBorder="1" applyAlignment="1" applyProtection="1">
      <alignment vertical="center"/>
      <protection locked="0"/>
    </xf>
    <xf numFmtId="0" fontId="13" fillId="9" borderId="39" xfId="0" applyFont="1" applyFill="1" applyBorder="1" applyAlignment="1" applyProtection="1">
      <alignment vertical="center"/>
      <protection locked="0"/>
    </xf>
    <xf numFmtId="0" fontId="13" fillId="0" borderId="0" xfId="0" applyFont="1" applyBorder="1" applyAlignment="1">
      <alignment vertical="center" wrapText="1"/>
    </xf>
    <xf numFmtId="166" fontId="13" fillId="0" borderId="16" xfId="0" applyNumberFormat="1" applyFont="1" applyBorder="1" applyAlignment="1">
      <alignment horizontal="center" vertical="center"/>
    </xf>
    <xf numFmtId="166" fontId="13" fillId="0" borderId="10" xfId="0" applyNumberFormat="1" applyFont="1" applyBorder="1" applyAlignment="1">
      <alignment horizontal="center" vertical="center"/>
    </xf>
    <xf numFmtId="166" fontId="13" fillId="0" borderId="2" xfId="0" applyNumberFormat="1" applyFont="1" applyFill="1" applyBorder="1" applyAlignment="1">
      <alignment horizontal="center" vertical="center"/>
    </xf>
    <xf numFmtId="2" fontId="13" fillId="0" borderId="1" xfId="0" applyNumberFormat="1" applyFont="1" applyBorder="1" applyAlignment="1">
      <alignment horizontal="center" vertical="center"/>
    </xf>
    <xf numFmtId="0" fontId="13" fillId="0" borderId="0" xfId="0" applyFont="1" applyAlignment="1" applyProtection="1">
      <alignment vertical="center"/>
      <protection locked="0"/>
    </xf>
    <xf numFmtId="166" fontId="13" fillId="0" borderId="1" xfId="0" applyNumberFormat="1" applyFont="1" applyFill="1" applyBorder="1" applyAlignment="1">
      <alignment horizontal="center" vertical="center"/>
    </xf>
    <xf numFmtId="166" fontId="13" fillId="0" borderId="1" xfId="0" applyNumberFormat="1" applyFont="1" applyBorder="1" applyAlignment="1">
      <alignment horizontal="center" vertical="center"/>
    </xf>
    <xf numFmtId="166" fontId="13" fillId="0" borderId="2" xfId="0" applyNumberFormat="1" applyFont="1" applyBorder="1" applyAlignment="1">
      <alignment horizontal="center" vertical="center"/>
    </xf>
    <xf numFmtId="166" fontId="13" fillId="0" borderId="18" xfId="0" applyNumberFormat="1" applyFont="1" applyBorder="1" applyAlignment="1">
      <alignment/>
    </xf>
    <xf numFmtId="166" fontId="13" fillId="0" borderId="9" xfId="0" applyNumberFormat="1" applyFont="1" applyBorder="1" applyAlignment="1">
      <alignment/>
    </xf>
    <xf numFmtId="166" fontId="13" fillId="0" borderId="40" xfId="0" applyNumberFormat="1" applyFont="1" applyFill="1" applyBorder="1" applyAlignment="1">
      <alignment horizontal="center" vertical="center"/>
    </xf>
    <xf numFmtId="166" fontId="13" fillId="0" borderId="41" xfId="0" applyNumberFormat="1" applyFont="1" applyFill="1" applyBorder="1" applyAlignment="1">
      <alignment horizontal="center" vertical="center"/>
    </xf>
    <xf numFmtId="166" fontId="13" fillId="0" borderId="42" xfId="0" applyNumberFormat="1" applyFont="1" applyFill="1" applyBorder="1" applyAlignment="1">
      <alignment horizontal="center" vertical="center"/>
    </xf>
    <xf numFmtId="166" fontId="13" fillId="0" borderId="43" xfId="0" applyNumberFormat="1" applyFont="1" applyFill="1" applyBorder="1" applyAlignment="1">
      <alignment horizontal="center" vertical="center"/>
    </xf>
    <xf numFmtId="166" fontId="13" fillId="0" borderId="23" xfId="0" applyNumberFormat="1" applyFont="1" applyBorder="1" applyAlignment="1">
      <alignment horizontal="center" vertical="center"/>
    </xf>
    <xf numFmtId="0" fontId="13"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top" wrapText="1"/>
      <protection/>
    </xf>
    <xf numFmtId="0" fontId="12" fillId="0" borderId="0" xfId="0" applyFont="1" applyFill="1" applyBorder="1" applyAlignment="1" applyProtection="1">
      <alignment horizontal="center"/>
      <protection/>
    </xf>
    <xf numFmtId="0" fontId="13" fillId="0" borderId="18" xfId="0" applyFont="1" applyFill="1" applyBorder="1" applyAlignment="1" applyProtection="1" quotePrefix="1">
      <alignment horizontal="center"/>
      <protection/>
    </xf>
    <xf numFmtId="0" fontId="13" fillId="0" borderId="9" xfId="0" applyFont="1" applyFill="1" applyBorder="1" applyAlignment="1" applyProtection="1" quotePrefix="1">
      <alignment horizontal="center"/>
      <protection/>
    </xf>
    <xf numFmtId="0" fontId="13" fillId="0" borderId="0" xfId="0" applyFont="1" applyFill="1" applyBorder="1" applyAlignment="1" applyProtection="1">
      <alignment horizontal="center"/>
      <protection/>
    </xf>
    <xf numFmtId="1" fontId="13" fillId="0" borderId="0" xfId="0" applyNumberFormat="1" applyFont="1" applyFill="1" applyBorder="1" applyAlignment="1" applyProtection="1">
      <alignment horizontal="center" vertical="center"/>
      <protection/>
    </xf>
    <xf numFmtId="2" fontId="13" fillId="0" borderId="0" xfId="0" applyNumberFormat="1" applyFont="1" applyFill="1" applyBorder="1" applyAlignment="1" applyProtection="1">
      <alignment horizontal="center"/>
      <protection/>
    </xf>
    <xf numFmtId="2" fontId="13" fillId="0" borderId="0" xfId="0" applyNumberFormat="1" applyFont="1" applyFill="1" applyBorder="1" applyAlignment="1" applyProtection="1">
      <alignment horizontal="center" vertical="top"/>
      <protection/>
    </xf>
    <xf numFmtId="2" fontId="13" fillId="0" borderId="0" xfId="0" applyNumberFormat="1" applyFont="1" applyFill="1" applyBorder="1" applyAlignment="1" applyProtection="1" quotePrefix="1">
      <alignment horizontal="center" vertical="top"/>
      <protection/>
    </xf>
    <xf numFmtId="0" fontId="18"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Protection="1">
      <protection/>
    </xf>
    <xf numFmtId="164" fontId="13" fillId="0" borderId="0" xfId="0" applyNumberFormat="1" applyFont="1" applyProtection="1">
      <protection/>
    </xf>
    <xf numFmtId="0" fontId="13" fillId="0" borderId="0" xfId="0" applyFont="1" applyFill="1" applyBorder="1" applyAlignment="1" applyProtection="1">
      <alignment vertical="top"/>
      <protection/>
    </xf>
    <xf numFmtId="164" fontId="13" fillId="0" borderId="42" xfId="0" applyNumberFormat="1" applyFont="1" applyFill="1" applyBorder="1" applyAlignment="1" applyProtection="1">
      <alignment horizontal="center"/>
      <protection/>
    </xf>
    <xf numFmtId="1" fontId="13" fillId="0" borderId="42" xfId="0" applyNumberFormat="1" applyFont="1" applyFill="1" applyBorder="1" applyAlignment="1" applyProtection="1">
      <alignment horizontal="center"/>
      <protection/>
    </xf>
    <xf numFmtId="164" fontId="13" fillId="0" borderId="43" xfId="0" applyNumberFormat="1" applyFont="1" applyFill="1" applyBorder="1" applyAlignment="1" applyProtection="1">
      <alignment horizont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quotePrefix="1">
      <alignment horizontal="center"/>
      <protection/>
    </xf>
    <xf numFmtId="164" fontId="13" fillId="0" borderId="0" xfId="0" applyNumberFormat="1" applyFont="1" applyFill="1" applyBorder="1" applyAlignment="1" applyProtection="1">
      <alignment horizontal="center"/>
      <protection/>
    </xf>
    <xf numFmtId="164" fontId="13" fillId="0" borderId="0" xfId="0" applyNumberFormat="1" applyFont="1" applyFill="1" applyBorder="1" applyAlignment="1" applyProtection="1" quotePrefix="1">
      <alignment horizontal="center"/>
      <protection/>
    </xf>
    <xf numFmtId="166" fontId="13" fillId="0" borderId="0" xfId="0" applyNumberFormat="1" applyFont="1" applyFill="1" applyBorder="1" applyAlignment="1" applyProtection="1">
      <alignment horizontal="center"/>
      <protection/>
    </xf>
    <xf numFmtId="0" fontId="12" fillId="0" borderId="0" xfId="0" applyFont="1" applyBorder="1" applyAlignment="1" applyProtection="1">
      <alignment horizontal="center" vertical="top"/>
      <protection/>
    </xf>
    <xf numFmtId="164" fontId="13" fillId="0" borderId="18" xfId="0" applyNumberFormat="1" applyFont="1" applyFill="1" applyBorder="1" applyAlignment="1" applyProtection="1" quotePrefix="1">
      <alignment horizontal="center"/>
      <protection/>
    </xf>
    <xf numFmtId="164" fontId="13" fillId="0" borderId="9" xfId="0" applyNumberFormat="1" applyFont="1" applyFill="1" applyBorder="1" applyAlignment="1" applyProtection="1" quotePrefix="1">
      <alignment horizontal="center"/>
      <protection/>
    </xf>
    <xf numFmtId="164" fontId="13" fillId="0" borderId="1" xfId="0" applyNumberFormat="1" applyFont="1" applyFill="1" applyBorder="1" applyAlignment="1" applyProtection="1">
      <alignment horizontal="center"/>
      <protection/>
    </xf>
    <xf numFmtId="164" fontId="13" fillId="0" borderId="2" xfId="0" applyNumberFormat="1" applyFont="1" applyFill="1" applyBorder="1" applyAlignment="1" applyProtection="1">
      <alignment horizontal="center"/>
      <protection/>
    </xf>
    <xf numFmtId="164" fontId="12" fillId="0" borderId="5" xfId="0" applyNumberFormat="1" applyFont="1" applyFill="1" applyBorder="1" applyAlignment="1" applyProtection="1">
      <alignment horizontal="left"/>
      <protection/>
    </xf>
    <xf numFmtId="164" fontId="13" fillId="0" borderId="8" xfId="0" applyNumberFormat="1" applyFont="1" applyFill="1" applyBorder="1" applyAlignment="1" applyProtection="1">
      <alignment horizontal="center"/>
      <protection/>
    </xf>
    <xf numFmtId="0" fontId="13" fillId="0" borderId="30" xfId="0" applyFont="1" applyFill="1" applyBorder="1" applyAlignment="1" applyProtection="1">
      <alignment horizontal="left" vertical="center"/>
      <protection/>
    </xf>
    <xf numFmtId="0" fontId="13" fillId="0" borderId="29" xfId="0" applyFont="1" applyBorder="1" applyAlignment="1" applyProtection="1">
      <alignment vertical="center"/>
      <protection/>
    </xf>
    <xf numFmtId="164" fontId="13" fillId="0" borderId="42" xfId="0" applyNumberFormat="1" applyFont="1" applyFill="1" applyBorder="1" applyAlignment="1" applyProtection="1" quotePrefix="1">
      <alignment horizontal="center"/>
      <protection/>
    </xf>
    <xf numFmtId="164" fontId="13" fillId="0" borderId="43" xfId="0" applyNumberFormat="1" applyFont="1" applyFill="1" applyBorder="1" applyAlignment="1" applyProtection="1" quotePrefix="1">
      <alignment horizontal="center"/>
      <protection/>
    </xf>
    <xf numFmtId="0" fontId="12" fillId="0" borderId="33" xfId="0" applyFont="1" applyFill="1" applyBorder="1" applyAlignment="1" applyProtection="1">
      <alignment vertical="top" wrapText="1"/>
      <protection/>
    </xf>
    <xf numFmtId="0" fontId="13" fillId="0" borderId="0" xfId="0" applyFont="1" applyBorder="1" applyAlignment="1" applyProtection="1">
      <alignment horizontal="center" wrapText="1"/>
      <protection/>
    </xf>
    <xf numFmtId="0" fontId="12" fillId="0" borderId="30" xfId="0" applyFont="1" applyFill="1" applyBorder="1" applyAlignment="1" applyProtection="1">
      <alignment vertical="top" wrapText="1"/>
      <protection/>
    </xf>
    <xf numFmtId="164" fontId="44" fillId="0" borderId="0" xfId="0" applyNumberFormat="1" applyFont="1" applyFill="1" applyBorder="1" applyAlignment="1" applyProtection="1">
      <alignment horizontal="left"/>
      <protection/>
    </xf>
    <xf numFmtId="2" fontId="13"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vertical="top"/>
      <protection/>
    </xf>
    <xf numFmtId="166" fontId="44" fillId="0" borderId="0" xfId="0" applyNumberFormat="1" applyFont="1" applyBorder="1" applyAlignment="1" applyProtection="1">
      <alignment horizontal="left"/>
      <protection/>
    </xf>
    <xf numFmtId="166" fontId="13" fillId="0" borderId="0" xfId="0" applyNumberFormat="1" applyFont="1" applyBorder="1" applyAlignment="1" applyProtection="1">
      <alignment horizontal="center"/>
      <protection/>
    </xf>
    <xf numFmtId="0" fontId="12"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2" fontId="13" fillId="0" borderId="0" xfId="0" applyNumberFormat="1" applyFont="1" applyFill="1" applyBorder="1" applyAlignment="1" applyProtection="1">
      <alignment horizontal="left"/>
      <protection/>
    </xf>
    <xf numFmtId="2" fontId="18" fillId="0" borderId="0" xfId="0" applyNumberFormat="1" applyFont="1" applyFill="1" applyBorder="1" applyAlignment="1" applyProtection="1">
      <alignment horizontal="left"/>
      <protection/>
    </xf>
    <xf numFmtId="0" fontId="12" fillId="0" borderId="0" xfId="0" applyFont="1" applyFill="1" applyBorder="1" applyAlignment="1" applyProtection="1">
      <alignment horizontal="left" vertical="top"/>
      <protection/>
    </xf>
    <xf numFmtId="0" fontId="13" fillId="0" borderId="0" xfId="0" applyFont="1" applyAlignment="1">
      <alignment vertical="top"/>
    </xf>
    <xf numFmtId="0" fontId="13" fillId="0" borderId="0" xfId="0" applyFont="1" applyBorder="1" applyAlignment="1">
      <alignment horizontal="center" vertical="top"/>
    </xf>
    <xf numFmtId="0" fontId="45" fillId="0" borderId="0" xfId="0" applyFont="1" applyAlignment="1">
      <alignment vertical="top" wrapText="1"/>
    </xf>
    <xf numFmtId="164" fontId="0" fillId="10" borderId="1" xfId="0" applyNumberFormat="1" applyFont="1" applyFill="1" applyBorder="1" applyAlignment="1" applyProtection="1">
      <alignment horizontal="center" wrapText="1"/>
      <protection locked="0"/>
    </xf>
    <xf numFmtId="164" fontId="0" fillId="10" borderId="2" xfId="0" applyNumberFormat="1" applyFont="1" applyFill="1" applyBorder="1" applyAlignment="1" applyProtection="1">
      <alignment horizontal="center" wrapText="1"/>
      <protection locked="0"/>
    </xf>
    <xf numFmtId="164" fontId="0" fillId="10" borderId="1" xfId="0" applyNumberFormat="1" applyFont="1" applyFill="1" applyBorder="1" applyAlignment="1" applyProtection="1">
      <alignment horizontal="center"/>
      <protection locked="0"/>
    </xf>
    <xf numFmtId="164" fontId="0" fillId="10" borderId="2" xfId="0" applyNumberFormat="1" applyFont="1" applyFill="1" applyBorder="1" applyAlignment="1" applyProtection="1">
      <alignment horizontal="center"/>
      <protection locked="0"/>
    </xf>
    <xf numFmtId="164" fontId="0" fillId="10" borderId="3" xfId="0" applyNumberFormat="1" applyFont="1" applyFill="1" applyBorder="1" applyAlignment="1" applyProtection="1">
      <alignment horizontal="center"/>
      <protection locked="0"/>
    </xf>
    <xf numFmtId="164" fontId="0" fillId="10" borderId="6" xfId="0" applyNumberFormat="1" applyFont="1" applyFill="1" applyBorder="1" applyAlignment="1" applyProtection="1">
      <alignment horizontal="center"/>
      <protection locked="0"/>
    </xf>
    <xf numFmtId="164" fontId="0" fillId="10" borderId="1" xfId="0" applyNumberFormat="1" applyFill="1" applyBorder="1" applyAlignment="1" applyProtection="1">
      <alignment horizontal="center"/>
      <protection locked="0"/>
    </xf>
    <xf numFmtId="164" fontId="0" fillId="10" borderId="3" xfId="0" applyNumberFormat="1" applyFill="1" applyBorder="1" applyAlignment="1" applyProtection="1">
      <alignment horizontal="center"/>
      <protection locked="0"/>
    </xf>
    <xf numFmtId="0" fontId="13" fillId="3" borderId="2" xfId="0" applyFont="1" applyFill="1" applyBorder="1" applyAlignment="1" applyProtection="1">
      <alignment horizontal="left" vertical="center"/>
      <protection locked="0"/>
    </xf>
    <xf numFmtId="0" fontId="13" fillId="0" borderId="18" xfId="0" applyFont="1" applyFill="1" applyBorder="1" applyAlignment="1" applyProtection="1" quotePrefix="1">
      <alignment horizontal="center"/>
      <protection/>
    </xf>
    <xf numFmtId="166" fontId="13" fillId="0" borderId="1" xfId="0" applyNumberFormat="1" applyFont="1" applyBorder="1" applyAlignment="1">
      <alignment horizontal="center" vertical="center"/>
    </xf>
    <xf numFmtId="166" fontId="13" fillId="0" borderId="2" xfId="0" applyNumberFormat="1" applyFont="1" applyBorder="1" applyAlignment="1">
      <alignment horizontal="center" vertical="center"/>
    </xf>
    <xf numFmtId="0" fontId="13" fillId="0" borderId="8" xfId="0" applyFont="1" applyBorder="1" applyAlignment="1">
      <alignment horizontal="center" vertical="center"/>
    </xf>
    <xf numFmtId="0" fontId="13" fillId="0" borderId="1" xfId="0" applyFont="1" applyFill="1" applyBorder="1" applyAlignment="1">
      <alignment vertical="center"/>
    </xf>
    <xf numFmtId="0" fontId="13" fillId="0" borderId="22" xfId="0" applyFont="1" applyFill="1" applyBorder="1" applyAlignment="1">
      <alignment vertical="center"/>
    </xf>
    <xf numFmtId="0" fontId="13" fillId="0" borderId="0" xfId="0" applyFont="1" applyBorder="1" applyAlignment="1">
      <alignment vertical="center" wrapText="1"/>
    </xf>
    <xf numFmtId="0" fontId="13" fillId="0" borderId="1" xfId="0" applyFont="1" applyFill="1" applyBorder="1" applyAlignment="1">
      <alignment horizontal="left" vertical="center"/>
    </xf>
    <xf numFmtId="0" fontId="13" fillId="0" borderId="11" xfId="0" applyFont="1" applyBorder="1" applyAlignment="1">
      <alignment horizontal="center" vertical="center" wrapText="1"/>
    </xf>
    <xf numFmtId="0" fontId="13" fillId="0" borderId="44" xfId="0" applyFont="1" applyBorder="1" applyAlignment="1">
      <alignment horizontal="center" vertical="center"/>
    </xf>
    <xf numFmtId="0" fontId="12" fillId="0" borderId="16" xfId="0" applyFont="1" applyFill="1" applyBorder="1" applyAlignment="1">
      <alignment horizontal="center" vertical="center" wrapText="1"/>
    </xf>
    <xf numFmtId="0" fontId="13" fillId="0" borderId="5" xfId="0" applyFont="1" applyBorder="1" applyAlignment="1">
      <alignment vertical="center"/>
    </xf>
    <xf numFmtId="0" fontId="13" fillId="0" borderId="0" xfId="0" applyFont="1" applyFill="1" applyBorder="1" applyAlignment="1">
      <alignment vertical="center"/>
    </xf>
    <xf numFmtId="0" fontId="13" fillId="0" borderId="15" xfId="0" applyFont="1" applyBorder="1" applyAlignment="1">
      <alignment vertical="center"/>
    </xf>
    <xf numFmtId="0" fontId="13" fillId="0" borderId="0" xfId="0" applyFont="1" applyFill="1" applyBorder="1" applyAlignment="1">
      <alignment horizontal="left" vertical="center"/>
    </xf>
    <xf numFmtId="0" fontId="11" fillId="0" borderId="4" xfId="0" applyFont="1" applyBorder="1" applyAlignment="1" applyProtection="1">
      <alignment horizontal="center" vertical="center"/>
      <protection locked="0"/>
    </xf>
    <xf numFmtId="0" fontId="11" fillId="0" borderId="14" xfId="0" applyFont="1" applyBorder="1" applyAlignment="1">
      <alignment vertical="center"/>
    </xf>
    <xf numFmtId="0" fontId="11" fillId="0" borderId="13" xfId="0" applyFont="1" applyBorder="1" applyAlignment="1" applyProtection="1">
      <alignment horizontal="center" vertical="center"/>
      <protection locked="0"/>
    </xf>
    <xf numFmtId="0" fontId="13" fillId="0" borderId="23" xfId="0" applyFont="1" applyFill="1" applyBorder="1" applyAlignment="1">
      <alignment horizontal="center" vertical="center" wrapText="1"/>
    </xf>
    <xf numFmtId="0" fontId="11" fillId="0" borderId="1" xfId="0" applyFont="1" applyFill="1" applyBorder="1" applyAlignment="1">
      <alignment vertical="center"/>
    </xf>
    <xf numFmtId="0" fontId="11" fillId="3" borderId="0" xfId="0" applyFont="1" applyFill="1" applyBorder="1" applyAlignment="1" applyProtection="1">
      <alignment horizontal="left" vertical="center"/>
      <protection locked="0"/>
    </xf>
    <xf numFmtId="0" fontId="11" fillId="0" borderId="45" xfId="0" applyFont="1" applyBorder="1" applyAlignment="1">
      <alignment vertical="center"/>
    </xf>
    <xf numFmtId="0" fontId="11" fillId="0" borderId="0" xfId="0" applyFont="1" applyBorder="1" applyAlignment="1" applyProtection="1">
      <alignment horizontal="center" vertical="center"/>
      <protection locked="0"/>
    </xf>
    <xf numFmtId="0" fontId="12" fillId="0" borderId="18" xfId="0" applyFont="1" applyFill="1" applyBorder="1" applyAlignment="1" applyProtection="1">
      <alignment/>
      <protection/>
    </xf>
    <xf numFmtId="0" fontId="12" fillId="0" borderId="9" xfId="0" applyFont="1" applyFill="1" applyBorder="1" applyAlignment="1" applyProtection="1">
      <alignment/>
      <protection/>
    </xf>
    <xf numFmtId="0" fontId="13" fillId="0" borderId="1" xfId="0" applyFont="1" applyBorder="1" applyAlignment="1" applyProtection="1">
      <alignment/>
      <protection/>
    </xf>
    <xf numFmtId="0" fontId="13" fillId="0" borderId="2" xfId="0" applyFont="1" applyBorder="1" applyAlignment="1" applyProtection="1">
      <alignment/>
      <protection/>
    </xf>
    <xf numFmtId="164" fontId="13" fillId="0" borderId="1" xfId="0" applyNumberFormat="1" applyFont="1" applyBorder="1" applyAlignment="1" applyProtection="1">
      <alignment horizontal="center"/>
      <protection/>
    </xf>
    <xf numFmtId="1" fontId="13" fillId="0" borderId="1" xfId="0" applyNumberFormat="1" applyFont="1" applyBorder="1" applyAlignment="1" applyProtection="1">
      <alignment horizontal="center"/>
      <protection/>
    </xf>
    <xf numFmtId="164" fontId="13" fillId="0" borderId="2" xfId="0" applyNumberFormat="1" applyFont="1" applyBorder="1" applyAlignment="1" applyProtection="1">
      <alignment horizontal="center"/>
      <protection/>
    </xf>
    <xf numFmtId="164" fontId="12" fillId="0" borderId="18" xfId="0" applyNumberFormat="1" applyFont="1" applyFill="1" applyBorder="1" applyAlignment="1" applyProtection="1">
      <alignment horizontal="center"/>
      <protection/>
    </xf>
    <xf numFmtId="1" fontId="12" fillId="0" borderId="18" xfId="0" applyNumberFormat="1" applyFont="1" applyFill="1" applyBorder="1" applyAlignment="1" applyProtection="1">
      <alignment horizontal="center"/>
      <protection/>
    </xf>
    <xf numFmtId="164" fontId="12" fillId="0" borderId="9" xfId="0" applyNumberFormat="1" applyFont="1" applyFill="1" applyBorder="1" applyAlignment="1" applyProtection="1">
      <alignment horizontal="center"/>
      <protection/>
    </xf>
    <xf numFmtId="164" fontId="13" fillId="0" borderId="40" xfId="0" applyNumberFormat="1" applyFont="1" applyBorder="1" applyAlignment="1" applyProtection="1">
      <alignment horizontal="center"/>
      <protection/>
    </xf>
    <xf numFmtId="1" fontId="13" fillId="0" borderId="40" xfId="0" applyNumberFormat="1" applyFont="1" applyBorder="1" applyAlignment="1" applyProtection="1">
      <alignment horizontal="center"/>
      <protection/>
    </xf>
    <xf numFmtId="164" fontId="13" fillId="0" borderId="41" xfId="0" applyNumberFormat="1" applyFont="1" applyBorder="1" applyAlignment="1" applyProtection="1">
      <alignment horizontal="center"/>
      <protection/>
    </xf>
    <xf numFmtId="164" fontId="13" fillId="0" borderId="46" xfId="0" applyNumberFormat="1" applyFont="1" applyFill="1" applyBorder="1" applyAlignment="1" applyProtection="1">
      <alignment horizontal="left"/>
      <protection/>
    </xf>
    <xf numFmtId="164" fontId="12" fillId="0" borderId="47" xfId="0" applyNumberFormat="1" applyFont="1" applyFill="1" applyBorder="1" applyAlignment="1" applyProtection="1">
      <alignment horizontal="left"/>
      <protection/>
    </xf>
    <xf numFmtId="166" fontId="13" fillId="0" borderId="4" xfId="0" applyNumberFormat="1" applyFont="1" applyBorder="1" applyAlignment="1">
      <alignment horizontal="center" vertical="center"/>
    </xf>
    <xf numFmtId="0" fontId="13" fillId="0" borderId="30" xfId="0" applyFont="1" applyFill="1" applyBorder="1" applyAlignment="1">
      <alignment/>
    </xf>
    <xf numFmtId="0" fontId="12" fillId="0" borderId="48" xfId="0" applyFont="1" applyFill="1" applyBorder="1" applyAlignment="1">
      <alignment vertical="top" wrapText="1"/>
    </xf>
    <xf numFmtId="0" fontId="13" fillId="0" borderId="49" xfId="0" applyFont="1" applyBorder="1" applyAlignment="1">
      <alignment horizontal="center" vertical="center"/>
    </xf>
    <xf numFmtId="0" fontId="13" fillId="0" borderId="20" xfId="0" applyFont="1" applyBorder="1" applyAlignment="1">
      <alignment vertical="center"/>
    </xf>
    <xf numFmtId="0" fontId="13" fillId="0" borderId="27" xfId="0" applyFont="1" applyBorder="1" applyAlignment="1">
      <alignment vertical="center"/>
    </xf>
    <xf numFmtId="0" fontId="12" fillId="0" borderId="0" xfId="0" applyFont="1" applyFill="1" applyBorder="1" applyAlignment="1" applyProtection="1">
      <alignment horizontal="centerContinuous" vertical="top" wrapText="1"/>
      <protection locked="0"/>
    </xf>
    <xf numFmtId="0" fontId="12" fillId="0" borderId="0" xfId="0" applyFont="1" applyFill="1" applyBorder="1" applyAlignment="1">
      <alignment vertical="center" wrapText="1"/>
    </xf>
    <xf numFmtId="0" fontId="12" fillId="0" borderId="14" xfId="0" applyFont="1" applyFill="1" applyBorder="1" applyAlignment="1">
      <alignment vertical="center" wrapText="1"/>
    </xf>
    <xf numFmtId="0" fontId="12" fillId="0" borderId="20" xfId="0" applyFont="1" applyFill="1" applyBorder="1" applyAlignment="1" applyProtection="1">
      <alignment horizontal="centerContinuous" vertical="center" wrapText="1"/>
      <protection locked="0"/>
    </xf>
    <xf numFmtId="0" fontId="12" fillId="0" borderId="20" xfId="0" applyFont="1" applyFill="1" applyBorder="1" applyAlignment="1" applyProtection="1">
      <alignment horizontal="centerContinuous" vertical="top" wrapText="1"/>
      <protection locked="0"/>
    </xf>
    <xf numFmtId="2" fontId="0" fillId="0" borderId="2" xfId="0" applyNumberFormat="1" applyBorder="1" applyAlignment="1" quotePrefix="1">
      <alignment horizontal="center"/>
    </xf>
    <xf numFmtId="0" fontId="13" fillId="0" borderId="0" xfId="0" applyFont="1" applyFill="1" applyBorder="1" applyAlignment="1" applyProtection="1">
      <alignment horizontal="left"/>
      <protection/>
    </xf>
    <xf numFmtId="0" fontId="12" fillId="0" borderId="27" xfId="0" applyFont="1" applyFill="1" applyBorder="1" applyAlignment="1" applyProtection="1">
      <alignment horizontal="left"/>
      <protection/>
    </xf>
    <xf numFmtId="0" fontId="12" fillId="0" borderId="5" xfId="0" applyFont="1" applyFill="1" applyBorder="1" applyAlignment="1" applyProtection="1">
      <alignment horizontal="left"/>
      <protection/>
    </xf>
    <xf numFmtId="0" fontId="13" fillId="0" borderId="5" xfId="0" applyFont="1" applyBorder="1" applyAlignment="1" applyProtection="1">
      <alignment horizontal="left"/>
      <protection/>
    </xf>
    <xf numFmtId="0" fontId="13" fillId="0" borderId="5" xfId="0" applyFont="1" applyFill="1" applyBorder="1" applyAlignment="1" applyProtection="1">
      <alignment horizontal="left"/>
      <protection/>
    </xf>
    <xf numFmtId="164" fontId="13" fillId="0" borderId="5" xfId="0" applyNumberFormat="1" applyFont="1" applyFill="1" applyBorder="1" applyAlignment="1" applyProtection="1">
      <alignment horizontal="left"/>
      <protection/>
    </xf>
    <xf numFmtId="0" fontId="39" fillId="0" borderId="0" xfId="0" applyFont="1" applyAlignment="1">
      <alignment horizontal="left" vertical="center" wrapText="1"/>
    </xf>
    <xf numFmtId="0" fontId="43"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left" wrapText="1"/>
    </xf>
    <xf numFmtId="0" fontId="14"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1" fillId="6" borderId="20" xfId="0" applyFont="1" applyFill="1" applyBorder="1" applyAlignment="1">
      <alignment horizontal="center" vertical="center"/>
    </xf>
    <xf numFmtId="0" fontId="11" fillId="6" borderId="50" xfId="0" applyFont="1" applyFill="1" applyBorder="1" applyAlignment="1">
      <alignment horizontal="center" vertical="center"/>
    </xf>
    <xf numFmtId="0" fontId="13" fillId="0" borderId="38" xfId="0" applyFont="1" applyBorder="1" applyAlignment="1">
      <alignment horizontal="center" vertical="center"/>
    </xf>
    <xf numFmtId="0" fontId="13" fillId="3" borderId="2"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1" fontId="13" fillId="3" borderId="6" xfId="0" applyNumberFormat="1" applyFont="1" applyFill="1" applyBorder="1" applyAlignment="1" applyProtection="1">
      <alignment horizontal="left" vertical="center"/>
      <protection locked="0"/>
    </xf>
    <xf numFmtId="1" fontId="13" fillId="3" borderId="7" xfId="0" applyNumberFormat="1" applyFont="1" applyFill="1" applyBorder="1" applyAlignment="1" applyProtection="1">
      <alignment horizontal="left" vertical="center"/>
      <protection locked="0"/>
    </xf>
    <xf numFmtId="1" fontId="13" fillId="3" borderId="2" xfId="0" applyNumberFormat="1" applyFont="1" applyFill="1" applyBorder="1" applyAlignment="1" applyProtection="1">
      <alignment horizontal="left" vertical="center"/>
      <protection locked="0"/>
    </xf>
    <xf numFmtId="1" fontId="13" fillId="3" borderId="8" xfId="0" applyNumberFormat="1" applyFont="1" applyFill="1" applyBorder="1" applyAlignment="1" applyProtection="1">
      <alignment horizontal="left" vertical="center"/>
      <protection locked="0"/>
    </xf>
    <xf numFmtId="0" fontId="12" fillId="0" borderId="27" xfId="0" applyFont="1" applyFill="1" applyBorder="1" applyAlignment="1">
      <alignment horizontal="left"/>
    </xf>
    <xf numFmtId="166" fontId="13" fillId="0" borderId="1" xfId="0" applyNumberFormat="1" applyFont="1" applyFill="1" applyBorder="1" applyAlignment="1">
      <alignment horizontal="center" vertical="top" wrapText="1"/>
    </xf>
    <xf numFmtId="0" fontId="27" fillId="0" borderId="45" xfId="0" applyFont="1" applyFill="1" applyBorder="1" applyAlignment="1">
      <alignment horizontal="left"/>
    </xf>
    <xf numFmtId="0" fontId="13" fillId="0" borderId="0" xfId="0" applyFont="1" applyBorder="1"/>
    <xf numFmtId="0" fontId="12" fillId="0" borderId="2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xf>
    <xf numFmtId="166" fontId="13" fillId="0" borderId="2" xfId="0" applyNumberFormat="1" applyFont="1" applyFill="1" applyBorder="1" applyAlignment="1">
      <alignment horizontal="center" vertical="top" wrapText="1"/>
    </xf>
    <xf numFmtId="164" fontId="12" fillId="0" borderId="10" xfId="0" applyNumberFormat="1" applyFont="1" applyFill="1" applyBorder="1" applyAlignment="1">
      <alignment horizontal="center"/>
    </xf>
    <xf numFmtId="164" fontId="12" fillId="0" borderId="4"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27" fillId="0" borderId="0" xfId="0" applyFont="1" applyFill="1" applyBorder="1" applyAlignment="1">
      <alignment horizontal="left" vertical="top" wrapText="1"/>
    </xf>
    <xf numFmtId="0" fontId="13" fillId="0" borderId="30" xfId="0" applyFont="1" applyBorder="1"/>
    <xf numFmtId="0" fontId="13" fillId="0" borderId="29" xfId="0" applyFont="1" applyBorder="1"/>
    <xf numFmtId="0" fontId="13" fillId="0" borderId="7" xfId="0" applyFont="1" applyFill="1" applyBorder="1" applyAlignment="1">
      <alignment vertical="top"/>
    </xf>
    <xf numFmtId="0" fontId="13" fillId="0" borderId="3" xfId="0" applyFont="1" applyFill="1" applyBorder="1" applyAlignment="1">
      <alignment vertical="top"/>
    </xf>
    <xf numFmtId="0" fontId="13" fillId="0" borderId="8" xfId="0" applyFont="1" applyFill="1" applyBorder="1" applyAlignment="1">
      <alignment vertical="top"/>
    </xf>
    <xf numFmtId="0" fontId="13" fillId="0" borderId="1" xfId="0" applyFont="1" applyFill="1" applyBorder="1" applyAlignment="1">
      <alignment vertical="top"/>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3" xfId="0" applyFont="1" applyFill="1" applyBorder="1" applyAlignment="1">
      <alignment horizontal="center" vertical="center" wrapText="1"/>
    </xf>
    <xf numFmtId="166" fontId="13" fillId="0" borderId="3" xfId="0" applyNumberFormat="1" applyFont="1" applyFill="1" applyBorder="1" applyAlignment="1">
      <alignment horizontal="center" vertical="top" wrapText="1"/>
    </xf>
    <xf numFmtId="0" fontId="13" fillId="0" borderId="0" xfId="0" applyFont="1" applyFill="1" applyBorder="1" applyAlignment="1">
      <alignment horizontal="left" vertical="top" wrapText="1"/>
    </xf>
    <xf numFmtId="0" fontId="12" fillId="0" borderId="48" xfId="0" applyFont="1" applyFill="1" applyBorder="1" applyAlignment="1" applyProtection="1">
      <alignment horizontal="center" vertical="top" wrapText="1"/>
      <protection locked="0"/>
    </xf>
    <xf numFmtId="0" fontId="12" fillId="0" borderId="30" xfId="0" applyFont="1" applyFill="1" applyBorder="1" applyAlignment="1" applyProtection="1">
      <alignment horizontal="center" vertical="top" wrapText="1"/>
      <protection locked="0"/>
    </xf>
    <xf numFmtId="0" fontId="13" fillId="0" borderId="0" xfId="0" applyFont="1" applyAlignment="1">
      <alignment horizontal="left" vertical="top"/>
    </xf>
    <xf numFmtId="0" fontId="13" fillId="0" borderId="38" xfId="0" applyFont="1" applyBorder="1" applyAlignment="1">
      <alignment horizontal="center"/>
    </xf>
    <xf numFmtId="166" fontId="13" fillId="0" borderId="6" xfId="0" applyNumberFormat="1" applyFont="1" applyFill="1" applyBorder="1" applyAlignment="1">
      <alignment horizontal="center" vertical="top" wrapText="1"/>
    </xf>
    <xf numFmtId="166" fontId="13" fillId="0" borderId="15" xfId="0" applyNumberFormat="1" applyFont="1" applyFill="1" applyBorder="1" applyAlignment="1">
      <alignment horizontal="center" vertical="top" wrapText="1"/>
    </xf>
    <xf numFmtId="0" fontId="12" fillId="0" borderId="48" xfId="0" applyFont="1" applyFill="1" applyBorder="1" applyAlignment="1">
      <alignment horizontal="center" vertical="center" wrapText="1"/>
    </xf>
    <xf numFmtId="169" fontId="27" fillId="0" borderId="45" xfId="0" applyNumberFormat="1" applyFont="1" applyFill="1" applyBorder="1" applyAlignment="1">
      <alignment horizontal="left"/>
    </xf>
    <xf numFmtId="169" fontId="13" fillId="0" borderId="0" xfId="0" applyNumberFormat="1" applyFont="1" applyBorder="1"/>
    <xf numFmtId="165" fontId="27" fillId="0" borderId="24" xfId="0" applyNumberFormat="1" applyFont="1" applyFill="1" applyBorder="1" applyAlignment="1">
      <alignment horizontal="left"/>
    </xf>
    <xf numFmtId="0" fontId="29" fillId="0" borderId="0" xfId="0" applyFont="1" applyFill="1" applyBorder="1" applyAlignment="1">
      <alignment horizontal="left" vertical="top"/>
    </xf>
    <xf numFmtId="0" fontId="13" fillId="0" borderId="48" xfId="0" applyFont="1" applyBorder="1"/>
    <xf numFmtId="0" fontId="13" fillId="0" borderId="31" xfId="0" applyFont="1" applyBorder="1"/>
    <xf numFmtId="0" fontId="12" fillId="0" borderId="31" xfId="0" applyFont="1" applyFill="1" applyBorder="1" applyAlignment="1">
      <alignment horizontal="center" vertical="center" wrapText="1"/>
    </xf>
    <xf numFmtId="0" fontId="10" fillId="0" borderId="51" xfId="0" applyFont="1" applyBorder="1" applyAlignment="1">
      <alignment horizontal="center" vertical="center"/>
    </xf>
    <xf numFmtId="0" fontId="27" fillId="0" borderId="11" xfId="0" applyFont="1" applyFill="1" applyBorder="1" applyAlignment="1">
      <alignment horizontal="left"/>
    </xf>
    <xf numFmtId="0" fontId="13" fillId="0" borderId="25" xfId="0" applyFont="1" applyBorder="1"/>
    <xf numFmtId="164" fontId="12" fillId="0" borderId="48" xfId="0" applyNumberFormat="1" applyFont="1" applyFill="1" applyBorder="1" applyAlignment="1" applyProtection="1">
      <alignment horizontal="center" wrapText="1"/>
      <protection/>
    </xf>
    <xf numFmtId="164" fontId="12" fillId="0" borderId="30" xfId="0" applyNumberFormat="1" applyFont="1" applyFill="1" applyBorder="1" applyAlignment="1" applyProtection="1">
      <alignment horizontal="center" wrapText="1"/>
      <protection/>
    </xf>
    <xf numFmtId="164" fontId="13" fillId="0" borderId="27" xfId="0" applyNumberFormat="1" applyFont="1" applyFill="1" applyBorder="1" applyAlignment="1" applyProtection="1" quotePrefix="1">
      <alignment horizontal="center"/>
      <protection/>
    </xf>
    <xf numFmtId="164" fontId="13" fillId="0" borderId="44" xfId="0" applyNumberFormat="1" applyFont="1" applyFill="1" applyBorder="1" applyAlignment="1" applyProtection="1" quotePrefix="1">
      <alignment horizontal="center"/>
      <protection/>
    </xf>
    <xf numFmtId="164" fontId="13" fillId="0" borderId="5" xfId="0" applyNumberFormat="1" applyFont="1" applyFill="1" applyBorder="1" applyAlignment="1" applyProtection="1">
      <alignment horizontal="center"/>
      <protection/>
    </xf>
    <xf numFmtId="164" fontId="13" fillId="0" borderId="8" xfId="0" applyNumberFormat="1" applyFont="1" applyFill="1" applyBorder="1" applyAlignment="1" applyProtection="1">
      <alignment horizontal="center"/>
      <protection/>
    </xf>
    <xf numFmtId="164" fontId="13" fillId="0" borderId="1" xfId="0" applyNumberFormat="1" applyFont="1" applyFill="1" applyBorder="1" applyAlignment="1" applyProtection="1">
      <alignment horizontal="center"/>
      <protection/>
    </xf>
    <xf numFmtId="164" fontId="13" fillId="0" borderId="2" xfId="0" applyNumberFormat="1" applyFont="1" applyFill="1" applyBorder="1" applyAlignment="1" applyProtection="1">
      <alignment horizontal="center"/>
      <protection/>
    </xf>
    <xf numFmtId="2" fontId="13" fillId="0" borderId="1" xfId="0" applyNumberFormat="1" applyFont="1" applyFill="1" applyBorder="1" applyAlignment="1" applyProtection="1">
      <alignment horizontal="center" vertical="center"/>
      <protection/>
    </xf>
    <xf numFmtId="0" fontId="13" fillId="0" borderId="44" xfId="0" applyFont="1" applyFill="1" applyBorder="1" applyAlignment="1" applyProtection="1" quotePrefix="1">
      <alignment horizontal="center"/>
      <protection/>
    </xf>
    <xf numFmtId="0" fontId="13" fillId="0" borderId="18" xfId="0" applyFont="1" applyFill="1" applyBorder="1" applyAlignment="1" applyProtection="1" quotePrefix="1">
      <alignment horizontal="center"/>
      <protection/>
    </xf>
    <xf numFmtId="164" fontId="12" fillId="0" borderId="1" xfId="0" applyNumberFormat="1" applyFont="1" applyFill="1" applyBorder="1" applyAlignment="1" applyProtection="1">
      <alignment horizontal="center"/>
      <protection/>
    </xf>
    <xf numFmtId="0" fontId="12" fillId="0" borderId="48" xfId="0" applyFont="1" applyFill="1" applyBorder="1" applyAlignment="1" applyProtection="1">
      <alignment horizontal="center" vertical="top" wrapText="1"/>
      <protection/>
    </xf>
    <xf numFmtId="0" fontId="12" fillId="0" borderId="30" xfId="0" applyFont="1" applyFill="1" applyBorder="1" applyAlignment="1" applyProtection="1">
      <alignment horizontal="center" vertical="top" wrapText="1"/>
      <protection/>
    </xf>
    <xf numFmtId="0" fontId="13" fillId="0" borderId="0" xfId="0" applyFont="1" applyFill="1" applyBorder="1" applyAlignment="1" applyProtection="1">
      <alignment horizontal="left"/>
      <protection/>
    </xf>
    <xf numFmtId="2" fontId="13" fillId="0" borderId="1" xfId="0" applyNumberFormat="1" applyFont="1" applyFill="1" applyBorder="1" applyAlignment="1" applyProtection="1" quotePrefix="1">
      <alignment horizontal="center" vertical="center"/>
      <protection/>
    </xf>
    <xf numFmtId="2" fontId="13" fillId="0" borderId="2" xfId="0" applyNumberFormat="1" applyFont="1" applyFill="1" applyBorder="1" applyAlignment="1" applyProtection="1">
      <alignment horizontal="center" vertical="center"/>
      <protection/>
    </xf>
    <xf numFmtId="166" fontId="13" fillId="0" borderId="1" xfId="0" applyNumberFormat="1" applyFont="1" applyBorder="1" applyAlignment="1" applyProtection="1">
      <alignment horizontal="center"/>
      <protection/>
    </xf>
    <xf numFmtId="166" fontId="13" fillId="0" borderId="2" xfId="0" applyNumberFormat="1" applyFont="1" applyBorder="1" applyAlignment="1" applyProtection="1">
      <alignment horizontal="center"/>
      <protection/>
    </xf>
    <xf numFmtId="166" fontId="13" fillId="0" borderId="3" xfId="0" applyNumberFormat="1" applyFont="1" applyBorder="1" applyAlignment="1" applyProtection="1">
      <alignment horizontal="center"/>
      <protection/>
    </xf>
    <xf numFmtId="166" fontId="13" fillId="0" borderId="6" xfId="0" applyNumberFormat="1" applyFont="1" applyBorder="1" applyAlignment="1" applyProtection="1">
      <alignment horizontal="center"/>
      <protection/>
    </xf>
    <xf numFmtId="0" fontId="13" fillId="0" borderId="9" xfId="0" applyFont="1" applyFill="1" applyBorder="1" applyAlignment="1" applyProtection="1" quotePrefix="1">
      <alignment horizontal="center"/>
      <protection/>
    </xf>
    <xf numFmtId="166" fontId="13" fillId="0" borderId="1" xfId="0" applyNumberFormat="1" applyFont="1" applyFill="1" applyBorder="1" applyAlignment="1" applyProtection="1">
      <alignment horizontal="center" vertical="center"/>
      <protection/>
    </xf>
    <xf numFmtId="166" fontId="13" fillId="0" borderId="3" xfId="0" applyNumberFormat="1" applyFont="1" applyFill="1" applyBorder="1" applyAlignment="1" applyProtection="1">
      <alignment horizontal="center" vertical="center"/>
      <protection/>
    </xf>
    <xf numFmtId="166" fontId="13" fillId="0" borderId="1" xfId="0" applyNumberFormat="1" applyFont="1" applyFill="1" applyBorder="1" applyAlignment="1" applyProtection="1">
      <alignment horizontal="center"/>
      <protection/>
    </xf>
    <xf numFmtId="168" fontId="13" fillId="0" borderId="3" xfId="0" applyNumberFormat="1"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13" fillId="0" borderId="3" xfId="0" applyFont="1" applyBorder="1" applyAlignment="1" applyProtection="1">
      <alignment vertical="center" wrapText="1"/>
      <protection/>
    </xf>
    <xf numFmtId="0" fontId="13" fillId="0" borderId="48" xfId="0" applyFont="1" applyFill="1" applyBorder="1" applyAlignment="1" applyProtection="1">
      <alignment horizontal="left"/>
      <protection/>
    </xf>
    <xf numFmtId="0" fontId="12" fillId="0" borderId="25" xfId="0" applyFont="1" applyFill="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13" fillId="0" borderId="8" xfId="0" applyFont="1" applyFill="1" applyBorder="1" applyAlignment="1" applyProtection="1">
      <alignment horizontal="left" vertical="top"/>
      <protection/>
    </xf>
    <xf numFmtId="0" fontId="13" fillId="0" borderId="1" xfId="0" applyFont="1" applyFill="1" applyBorder="1" applyAlignment="1" applyProtection="1">
      <alignment horizontal="left" vertical="top"/>
      <protection/>
    </xf>
    <xf numFmtId="0" fontId="13" fillId="0" borderId="7" xfId="0" applyFont="1" applyFill="1" applyBorder="1" applyAlignment="1" applyProtection="1">
      <alignment horizontal="left" vertical="top"/>
      <protection/>
    </xf>
    <xf numFmtId="0" fontId="13" fillId="0" borderId="3" xfId="0" applyFont="1" applyFill="1" applyBorder="1" applyAlignment="1" applyProtection="1">
      <alignment horizontal="left" vertical="top"/>
      <protection/>
    </xf>
    <xf numFmtId="0" fontId="12" fillId="0" borderId="8" xfId="0" applyFont="1" applyFill="1" applyBorder="1" applyAlignment="1" applyProtection="1">
      <alignment horizontal="left" wrapText="1"/>
      <protection/>
    </xf>
    <xf numFmtId="0" fontId="12" fillId="0" borderId="1" xfId="0" applyFont="1" applyFill="1" applyBorder="1" applyAlignment="1" applyProtection="1">
      <alignment horizontal="left" wrapText="1"/>
      <protection/>
    </xf>
    <xf numFmtId="166" fontId="13" fillId="0" borderId="3" xfId="0" applyNumberFormat="1" applyFont="1" applyFill="1" applyBorder="1" applyAlignment="1" applyProtection="1">
      <alignment horizontal="center"/>
      <protection/>
    </xf>
    <xf numFmtId="168" fontId="13" fillId="0" borderId="1" xfId="0" applyNumberFormat="1" applyFont="1" applyFill="1" applyBorder="1" applyAlignment="1" applyProtection="1">
      <alignment horizontal="center"/>
      <protection/>
    </xf>
    <xf numFmtId="168" fontId="13" fillId="0" borderId="1" xfId="0" applyNumberFormat="1" applyFont="1" applyFill="1" applyBorder="1" applyAlignment="1" applyProtection="1">
      <alignment horizontal="center" vertical="center"/>
      <protection/>
    </xf>
    <xf numFmtId="0" fontId="12" fillId="0" borderId="48" xfId="0" applyFont="1" applyFill="1" applyBorder="1" applyAlignment="1" applyProtection="1">
      <alignment horizontal="center" vertical="center" wrapText="1"/>
      <protection/>
    </xf>
    <xf numFmtId="0" fontId="12" fillId="0" borderId="30" xfId="0" applyFont="1" applyFill="1" applyBorder="1" applyAlignment="1" applyProtection="1">
      <alignment horizontal="center" vertical="center" wrapText="1"/>
      <protection/>
    </xf>
    <xf numFmtId="0" fontId="12" fillId="0" borderId="22" xfId="0" applyFont="1" applyBorder="1" applyAlignment="1" applyProtection="1">
      <alignment horizontal="center" vertical="center" wrapText="1"/>
      <protection/>
    </xf>
    <xf numFmtId="0" fontId="12" fillId="0" borderId="49"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12" fillId="0" borderId="2"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4"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3" fillId="0" borderId="49" xfId="0" applyFont="1" applyFill="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13" fillId="0" borderId="45" xfId="0" applyFont="1" applyFill="1" applyBorder="1" applyAlignment="1" applyProtection="1">
      <alignment horizontal="center" vertical="center" wrapText="1"/>
      <protection/>
    </xf>
    <xf numFmtId="0" fontId="13" fillId="0" borderId="24" xfId="0" applyFont="1" applyFill="1" applyBorder="1" applyAlignment="1" applyProtection="1">
      <alignment horizontal="center" vertical="center" wrapText="1"/>
      <protection/>
    </xf>
    <xf numFmtId="0" fontId="12" fillId="0" borderId="45" xfId="0" applyFont="1" applyFill="1" applyBorder="1" applyAlignment="1" applyProtection="1">
      <alignment horizontal="center" vertical="center" wrapText="1"/>
      <protection/>
    </xf>
    <xf numFmtId="0" fontId="13" fillId="0" borderId="18" xfId="0" applyFont="1" applyBorder="1" applyAlignment="1" applyProtection="1">
      <alignment/>
      <protection/>
    </xf>
    <xf numFmtId="0" fontId="13" fillId="0" borderId="52" xfId="0" applyFont="1" applyFill="1" applyBorder="1" applyAlignment="1" applyProtection="1">
      <alignment horizontal="left" vertical="center"/>
      <protection/>
    </xf>
    <xf numFmtId="0" fontId="13" fillId="0" borderId="42" xfId="0" applyFont="1" applyBorder="1" applyAlignment="1" applyProtection="1">
      <alignment horizontal="left" vertical="center"/>
      <protection/>
    </xf>
    <xf numFmtId="0" fontId="12" fillId="0" borderId="25" xfId="0" applyFont="1" applyBorder="1" applyAlignment="1" applyProtection="1">
      <alignment vertical="center" wrapText="1"/>
      <protection/>
    </xf>
    <xf numFmtId="0" fontId="12" fillId="0" borderId="12" xfId="0" applyFont="1" applyBorder="1" applyAlignment="1" applyProtection="1">
      <alignment vertical="center" wrapText="1"/>
      <protection/>
    </xf>
    <xf numFmtId="0" fontId="12" fillId="0" borderId="45"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4" xfId="0" applyFont="1" applyBorder="1" applyAlignment="1" applyProtection="1">
      <alignment vertical="center" wrapText="1"/>
      <protection/>
    </xf>
    <xf numFmtId="0" fontId="0" fillId="0" borderId="7" xfId="0" applyFont="1" applyBorder="1"/>
    <xf numFmtId="0" fontId="0" fillId="0" borderId="3" xfId="0" applyFont="1" applyBorder="1"/>
    <xf numFmtId="0" fontId="0" fillId="0" borderId="3" xfId="0" applyBorder="1" applyAlignment="1">
      <alignment horizontal="center"/>
    </xf>
    <xf numFmtId="164" fontId="0" fillId="10" borderId="3" xfId="0" applyNumberFormat="1" applyFill="1" applyBorder="1" applyAlignment="1" applyProtection="1">
      <alignment horizontal="center"/>
      <protection locked="0"/>
    </xf>
    <xf numFmtId="164" fontId="0" fillId="10" borderId="6" xfId="0" applyNumberFormat="1" applyFill="1" applyBorder="1" applyAlignment="1" applyProtection="1">
      <alignment horizontal="center"/>
      <protection locked="0"/>
    </xf>
    <xf numFmtId="0" fontId="0" fillId="0" borderId="5" xfId="0" applyFont="1" applyFill="1" applyBorder="1" applyAlignment="1">
      <alignment horizontal="center"/>
    </xf>
    <xf numFmtId="0" fontId="0" fillId="0" borderId="5" xfId="0" applyBorder="1" applyAlignment="1">
      <alignment horizontal="center"/>
    </xf>
    <xf numFmtId="0" fontId="0" fillId="0" borderId="8"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2" fontId="0" fillId="0" borderId="5" xfId="0" applyNumberFormat="1" applyFont="1" applyFill="1" applyBorder="1" applyAlignment="1">
      <alignment horizontal="left"/>
    </xf>
    <xf numFmtId="0" fontId="0" fillId="0" borderId="5" xfId="0" applyBorder="1" applyAlignment="1">
      <alignment/>
    </xf>
    <xf numFmtId="0" fontId="0" fillId="0" borderId="29" xfId="0" applyFont="1" applyFill="1" applyBorder="1" applyAlignment="1">
      <alignment horizontal="center"/>
    </xf>
    <xf numFmtId="0" fontId="0" fillId="0" borderId="30" xfId="0" applyBorder="1" applyAlignment="1">
      <alignment horizontal="center"/>
    </xf>
    <xf numFmtId="0" fontId="9" fillId="0" borderId="25" xfId="0" applyFont="1" applyFill="1" applyBorder="1" applyAlignment="1">
      <alignment horizontal="left"/>
    </xf>
    <xf numFmtId="0" fontId="9" fillId="0" borderId="25" xfId="0" applyFont="1" applyBorder="1" applyAlignment="1">
      <alignment horizontal="left"/>
    </xf>
    <xf numFmtId="0" fontId="2" fillId="0" borderId="0" xfId="0" applyFont="1" applyFill="1" applyBorder="1" applyAlignment="1">
      <alignment horizontal="center"/>
    </xf>
    <xf numFmtId="0" fontId="0" fillId="0" borderId="5" xfId="0" applyFont="1" applyBorder="1" applyAlignment="1">
      <alignment horizontal="left"/>
    </xf>
    <xf numFmtId="0" fontId="2" fillId="0" borderId="25" xfId="0" applyFont="1" applyBorder="1" applyAlignment="1">
      <alignment horizontal="left" vertical="center"/>
    </xf>
    <xf numFmtId="0" fontId="0" fillId="0" borderId="12" xfId="0"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left" vertical="center"/>
    </xf>
    <xf numFmtId="0" fontId="2" fillId="0" borderId="2" xfId="0" applyFont="1" applyBorder="1" applyAlignment="1">
      <alignment horizontal="center"/>
    </xf>
    <xf numFmtId="0" fontId="2" fillId="0" borderId="8" xfId="0" applyFont="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0" fontId="0" fillId="0" borderId="8" xfId="0" applyBorder="1" applyAlignment="1">
      <alignment/>
    </xf>
    <xf numFmtId="0" fontId="0" fillId="0" borderId="0" xfId="0" applyBorder="1" applyAlignment="1">
      <alignment horizontal="left" vertical="center"/>
    </xf>
    <xf numFmtId="0" fontId="0" fillId="0" borderId="14" xfId="0" applyBorder="1" applyAlignment="1">
      <alignment horizontal="left" vertical="center"/>
    </xf>
    <xf numFmtId="0" fontId="0" fillId="0" borderId="28" xfId="0" applyBorder="1" applyAlignment="1">
      <alignment vertical="center"/>
    </xf>
    <xf numFmtId="0" fontId="0" fillId="0" borderId="13" xfId="0" applyBorder="1" applyAlignment="1">
      <alignment vertical="center"/>
    </xf>
    <xf numFmtId="0" fontId="2" fillId="0" borderId="2" xfId="0" applyFont="1" applyFill="1" applyBorder="1" applyAlignment="1">
      <alignment horizontal="center"/>
    </xf>
    <xf numFmtId="0" fontId="1" fillId="0" borderId="25" xfId="0" applyFont="1" applyBorder="1" applyAlignment="1">
      <alignment/>
    </xf>
    <xf numFmtId="0" fontId="0" fillId="0" borderId="25" xfId="0" applyBorder="1" applyAlignment="1">
      <alignment/>
    </xf>
    <xf numFmtId="0" fontId="2" fillId="0" borderId="33" xfId="0" applyFont="1" applyBorder="1" applyAlignment="1">
      <alignment horizontal="center" wrapText="1"/>
    </xf>
    <xf numFmtId="0" fontId="2" fillId="0" borderId="30" xfId="0" applyFont="1" applyBorder="1" applyAlignment="1">
      <alignment horizontal="center" wrapText="1"/>
    </xf>
    <xf numFmtId="0" fontId="2" fillId="0" borderId="3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Fill="1" applyBorder="1" applyAlignment="1">
      <alignment horizontal="center" vertical="top" wrapText="1"/>
    </xf>
    <xf numFmtId="0" fontId="2" fillId="0" borderId="45" xfId="0" applyFont="1" applyBorder="1" applyAlignment="1">
      <alignment horizontal="center" vertical="top" wrapText="1"/>
    </xf>
    <xf numFmtId="0" fontId="2" fillId="0" borderId="4" xfId="0" applyFont="1" applyBorder="1" applyAlignment="1">
      <alignment horizontal="center" vertical="top" wrapText="1"/>
    </xf>
    <xf numFmtId="0" fontId="0" fillId="0" borderId="33" xfId="0" applyBorder="1" applyAlignment="1">
      <alignment wrapText="1"/>
    </xf>
    <xf numFmtId="0" fontId="0" fillId="0" borderId="30" xfId="0" applyBorder="1" applyAlignment="1">
      <alignment wrapText="1"/>
    </xf>
    <xf numFmtId="2" fontId="0" fillId="0" borderId="15" xfId="0" applyNumberFormat="1" applyFont="1" applyFill="1" applyBorder="1" applyAlignment="1">
      <alignment horizontal="left"/>
    </xf>
    <xf numFmtId="0" fontId="0" fillId="0" borderId="15" xfId="0" applyBorder="1" applyAlignment="1">
      <alignment/>
    </xf>
    <xf numFmtId="0" fontId="0" fillId="0" borderId="13" xfId="0" applyFont="1" applyBorder="1" applyAlignment="1">
      <alignment wrapText="1"/>
    </xf>
    <xf numFmtId="0" fontId="0" fillId="0" borderId="8" xfId="0" applyBorder="1" applyAlignment="1">
      <alignment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2" fillId="0" borderId="9" xfId="0" applyFont="1" applyBorder="1" applyAlignment="1">
      <alignment horizontal="center"/>
    </xf>
    <xf numFmtId="0" fontId="0" fillId="0" borderId="27" xfId="0"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64" fontId="0" fillId="10" borderId="1" xfId="0" applyNumberFormat="1" applyFill="1" applyBorder="1" applyAlignment="1" applyProtection="1">
      <alignment horizontal="center"/>
      <protection locked="0"/>
    </xf>
    <xf numFmtId="164" fontId="0" fillId="10" borderId="2" xfId="0" applyNumberFormat="1" applyFill="1" applyBorder="1" applyAlignment="1" applyProtection="1">
      <alignment horizontal="center"/>
      <protection locked="0"/>
    </xf>
    <xf numFmtId="0" fontId="0" fillId="0" borderId="8" xfId="0" applyFont="1" applyBorder="1"/>
    <xf numFmtId="0" fontId="0" fillId="0" borderId="1" xfId="0" applyFont="1" applyBorder="1"/>
    <xf numFmtId="0" fontId="2" fillId="0" borderId="18" xfId="0" applyFont="1" applyBorder="1" applyAlignment="1">
      <alignment horizontal="center" vertical="top"/>
    </xf>
    <xf numFmtId="0" fontId="2" fillId="0" borderId="9" xfId="0" applyFont="1" applyBorder="1" applyAlignment="1">
      <alignment horizontal="center" vertical="top"/>
    </xf>
    <xf numFmtId="0" fontId="0" fillId="0" borderId="44" xfId="0" applyFont="1" applyBorder="1" applyAlignment="1">
      <alignment wrapText="1"/>
    </xf>
    <xf numFmtId="0" fontId="0" fillId="2" borderId="18" xfId="0" applyFill="1" applyBorder="1" applyAlignment="1">
      <alignment horizontal="center" vertical="center"/>
    </xf>
    <xf numFmtId="0" fontId="2" fillId="0" borderId="8" xfId="0" applyFont="1" applyBorder="1" applyAlignment="1">
      <alignment/>
    </xf>
    <xf numFmtId="0" fontId="2" fillId="0" borderId="1" xfId="0" applyFont="1" applyBorder="1" applyAlignment="1">
      <alignment/>
    </xf>
    <xf numFmtId="164" fontId="0" fillId="0" borderId="2" xfId="0" applyNumberFormat="1" applyFont="1" applyFill="1" applyBorder="1" applyAlignment="1">
      <alignment horizontal="center" vertical="center"/>
    </xf>
    <xf numFmtId="0" fontId="0" fillId="0" borderId="8" xfId="0" applyBorder="1" applyAlignment="1">
      <alignment horizontal="center" vertical="center"/>
    </xf>
    <xf numFmtId="164" fontId="0" fillId="0" borderId="2" xfId="0" applyNumberFormat="1" applyFont="1" applyFill="1" applyBorder="1" applyAlignment="1">
      <alignment horizontal="center"/>
    </xf>
    <xf numFmtId="0" fontId="0" fillId="0" borderId="8" xfId="0" applyBorder="1" applyAlignment="1">
      <alignment horizontal="center"/>
    </xf>
    <xf numFmtId="164" fontId="0" fillId="0" borderId="6" xfId="0" applyNumberFormat="1" applyFont="1" applyFill="1" applyBorder="1" applyAlignment="1">
      <alignment horizontal="center"/>
    </xf>
    <xf numFmtId="164" fontId="0" fillId="0" borderId="7" xfId="0" applyNumberFormat="1" applyFill="1" applyBorder="1" applyAlignment="1">
      <alignment horizontal="center"/>
    </xf>
    <xf numFmtId="0" fontId="6" fillId="0" borderId="48" xfId="0" applyFont="1" applyBorder="1" applyAlignment="1">
      <alignment/>
    </xf>
    <xf numFmtId="0" fontId="0" fillId="0" borderId="48" xfId="0" applyBorder="1" applyAlignment="1">
      <alignment/>
    </xf>
    <xf numFmtId="0" fontId="6" fillId="0" borderId="0" xfId="0" applyFont="1" applyAlignment="1">
      <alignment/>
    </xf>
    <xf numFmtId="0" fontId="0" fillId="0" borderId="0" xfId="0" applyAlignment="1">
      <alignment/>
    </xf>
    <xf numFmtId="0" fontId="0" fillId="0" borderId="33" xfId="0" applyBorder="1" applyAlignment="1">
      <alignment horizontal="center" wrapText="1"/>
    </xf>
    <xf numFmtId="0" fontId="0" fillId="0" borderId="30" xfId="0" applyBorder="1" applyAlignment="1">
      <alignment horizontal="center" wrapText="1"/>
    </xf>
    <xf numFmtId="0" fontId="2" fillId="0" borderId="33" xfId="0" applyFont="1" applyFill="1" applyBorder="1" applyAlignment="1">
      <alignment horizontal="center" wrapText="1"/>
    </xf>
    <xf numFmtId="0" fontId="2" fillId="0" borderId="14" xfId="0" applyFont="1" applyFill="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2" fillId="0" borderId="4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45"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8" xfId="0" applyFont="1" applyBorder="1" applyAlignment="1">
      <alignment horizontal="center"/>
    </xf>
    <xf numFmtId="49" fontId="0" fillId="0" borderId="7" xfId="0" applyNumberFormat="1" applyFont="1" applyFill="1" applyBorder="1" applyAlignment="1">
      <alignment horizontal="center"/>
    </xf>
    <xf numFmtId="0" fontId="0" fillId="0" borderId="1" xfId="0" applyFill="1" applyBorder="1" applyAlignment="1">
      <alignment horizontal="center"/>
    </xf>
    <xf numFmtId="0" fontId="0" fillId="0" borderId="33" xfId="0" applyBorder="1" applyAlignment="1">
      <alignment/>
    </xf>
    <xf numFmtId="0" fontId="0" fillId="0" borderId="30" xfId="0" applyBorder="1" applyAlignment="1">
      <alignment/>
    </xf>
    <xf numFmtId="0" fontId="2" fillId="0" borderId="10" xfId="0" applyFont="1"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2" fillId="0" borderId="8" xfId="0" applyFont="1" applyFill="1" applyBorder="1" applyAlignment="1">
      <alignment/>
    </xf>
    <xf numFmtId="0" fontId="0" fillId="0" borderId="1" xfId="0" applyBorder="1" applyAlignment="1">
      <alignment/>
    </xf>
    <xf numFmtId="0" fontId="0" fillId="0" borderId="1" xfId="0" applyFont="1" applyFill="1" applyBorder="1" applyAlignment="1">
      <alignment horizontal="center"/>
    </xf>
    <xf numFmtId="164" fontId="0" fillId="10" borderId="1" xfId="0" applyNumberFormat="1" applyFill="1" applyBorder="1" applyAlignment="1" applyProtection="1">
      <alignment horizontal="center" vertical="top"/>
      <protection locked="0"/>
    </xf>
    <xf numFmtId="164" fontId="0" fillId="10" borderId="2" xfId="0" applyNumberFormat="1" applyFill="1" applyBorder="1" applyAlignment="1" applyProtection="1">
      <alignment horizontal="center" vertical="top"/>
      <protection locked="0"/>
    </xf>
    <xf numFmtId="0" fontId="2" fillId="0" borderId="33" xfId="0" applyFont="1" applyBorder="1" applyAlignment="1">
      <alignment horizontal="center"/>
    </xf>
    <xf numFmtId="0" fontId="0" fillId="0" borderId="33" xfId="0" applyBorder="1" applyAlignment="1">
      <alignment horizontal="center"/>
    </xf>
    <xf numFmtId="0" fontId="2" fillId="0" borderId="9" xfId="0" applyFont="1" applyFill="1" applyBorder="1" applyAlignment="1">
      <alignment horizontal="center"/>
    </xf>
    <xf numFmtId="0" fontId="0" fillId="0" borderId="44" xfId="0" applyBorder="1" applyAlignment="1">
      <alignment horizontal="center"/>
    </xf>
    <xf numFmtId="0" fontId="0" fillId="0" borderId="7" xfId="0" applyBorder="1" applyAlignment="1">
      <alignment/>
    </xf>
    <xf numFmtId="0" fontId="0" fillId="0" borderId="8" xfId="0" applyFont="1" applyBorder="1" applyAlignment="1">
      <alignment horizontal="left"/>
    </xf>
    <xf numFmtId="2" fontId="0" fillId="0" borderId="8" xfId="0" applyNumberFormat="1" applyFont="1" applyFill="1" applyBorder="1" applyAlignment="1">
      <alignment horizontal="left"/>
    </xf>
    <xf numFmtId="0" fontId="2" fillId="0" borderId="44" xfId="0" applyFont="1" applyBorder="1" applyAlignment="1">
      <alignment horizontal="left" vertical="top"/>
    </xf>
    <xf numFmtId="0" fontId="2" fillId="0" borderId="18" xfId="0" applyFont="1" applyBorder="1" applyAlignment="1">
      <alignment horizontal="left" vertical="top"/>
    </xf>
    <xf numFmtId="0" fontId="0" fillId="0" borderId="8" xfId="0" applyBorder="1" applyAlignment="1">
      <alignment vertical="top"/>
    </xf>
    <xf numFmtId="0" fontId="0" fillId="0" borderId="1" xfId="0" applyBorder="1" applyAlignment="1">
      <alignment vertical="top"/>
    </xf>
    <xf numFmtId="166" fontId="2" fillId="0" borderId="1" xfId="0" applyNumberFormat="1" applyFont="1" applyFill="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vertical="top" wrapText="1"/>
    </xf>
    <xf numFmtId="0" fontId="0" fillId="0" borderId="1" xfId="0" applyBorder="1" applyAlignment="1">
      <alignment horizontal="center" vertical="top" wrapText="1"/>
    </xf>
    <xf numFmtId="166" fontId="2" fillId="0" borderId="18" xfId="0" applyNumberFormat="1" applyFont="1" applyFill="1" applyBorder="1" applyAlignment="1">
      <alignment horizontal="center"/>
    </xf>
    <xf numFmtId="0" fontId="2" fillId="0" borderId="18" xfId="0" applyFont="1" applyBorder="1" applyAlignment="1">
      <alignment/>
    </xf>
    <xf numFmtId="0" fontId="2" fillId="0" borderId="9" xfId="0" applyFont="1" applyBorder="1" applyAlignment="1">
      <alignment/>
    </xf>
    <xf numFmtId="166" fontId="2" fillId="0" borderId="1" xfId="0" applyNumberFormat="1" applyFont="1" applyFill="1" applyBorder="1" applyAlignment="1">
      <alignment horizontal="center"/>
    </xf>
    <xf numFmtId="0" fontId="2" fillId="0" borderId="18" xfId="0" applyFont="1" applyFill="1" applyBorder="1" applyAlignment="1">
      <alignment horizontal="center"/>
    </xf>
    <xf numFmtId="0" fontId="0" fillId="0" borderId="18" xfId="0" applyBorder="1" applyAlignment="1">
      <alignment horizontal="center"/>
    </xf>
    <xf numFmtId="164" fontId="0" fillId="0" borderId="1" xfId="0" applyNumberFormat="1" applyFill="1" applyBorder="1" applyAlignment="1">
      <alignment horizontal="center"/>
    </xf>
    <xf numFmtId="164" fontId="0" fillId="0" borderId="1" xfId="0" applyNumberFormat="1" applyBorder="1" applyAlignment="1">
      <alignment horizontal="center"/>
    </xf>
    <xf numFmtId="164" fontId="0" fillId="0" borderId="3" xfId="0" applyNumberFormat="1" applyBorder="1" applyAlignment="1">
      <alignment horizontal="center"/>
    </xf>
    <xf numFmtId="0" fontId="0" fillId="0" borderId="2" xfId="0" applyBorder="1" applyAlignment="1">
      <alignment horizontal="center" vertical="top" wrapText="1"/>
    </xf>
    <xf numFmtId="0" fontId="2" fillId="0" borderId="16" xfId="0" applyFont="1" applyFill="1" applyBorder="1" applyAlignment="1">
      <alignment horizontal="center"/>
    </xf>
    <xf numFmtId="0" fontId="0" fillId="0" borderId="23" xfId="0" applyBorder="1" applyAlignment="1">
      <alignment horizontal="center"/>
    </xf>
    <xf numFmtId="0" fontId="2" fillId="0" borderId="29" xfId="0" applyFont="1" applyBorder="1" applyAlignment="1">
      <alignment horizontal="center"/>
    </xf>
    <xf numFmtId="0" fontId="2" fillId="0" borderId="17"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left"/>
    </xf>
    <xf numFmtId="0" fontId="0" fillId="0" borderId="12" xfId="0" applyBorder="1" applyAlignment="1">
      <alignment horizontal="left"/>
    </xf>
    <xf numFmtId="0" fontId="0" fillId="0" borderId="28" xfId="0" applyBorder="1" applyAlignment="1">
      <alignment horizontal="left"/>
    </xf>
    <xf numFmtId="0" fontId="0" fillId="0" borderId="13" xfId="0" applyBorder="1" applyAlignment="1">
      <alignment horizontal="left"/>
    </xf>
    <xf numFmtId="0" fontId="0" fillId="0" borderId="31"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49" xfId="0" applyBorder="1" applyAlignment="1">
      <alignment horizontal="center"/>
    </xf>
    <xf numFmtId="0" fontId="0" fillId="0" borderId="45" xfId="0" applyBorder="1" applyAlignment="1">
      <alignment horizontal="center"/>
    </xf>
    <xf numFmtId="0" fontId="1" fillId="0" borderId="48" xfId="0" applyFont="1" applyFill="1" applyBorder="1" applyAlignment="1">
      <alignment wrapText="1"/>
    </xf>
    <xf numFmtId="0" fontId="1" fillId="0" borderId="0" xfId="0" applyFont="1" applyFill="1" applyAlignment="1">
      <alignment wrapText="1"/>
    </xf>
    <xf numFmtId="0" fontId="2" fillId="0" borderId="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0" xfId="0" applyFont="1" applyFill="1"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wrapText="1"/>
    </xf>
    <xf numFmtId="0" fontId="2" fillId="0" borderId="13" xfId="0" applyFont="1" applyFill="1" applyBorder="1" applyAlignment="1">
      <alignment horizontal="center" wrapText="1"/>
    </xf>
    <xf numFmtId="0" fontId="0" fillId="0" borderId="8" xfId="0" applyBorder="1" applyAlignment="1">
      <alignment horizontal="center" wrapText="1"/>
    </xf>
    <xf numFmtId="2" fontId="2" fillId="0"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wrapText="1"/>
    </xf>
    <xf numFmtId="2" fontId="2" fillId="0" borderId="2"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0" fillId="0" borderId="2" xfId="0" applyBorder="1" applyAlignment="1">
      <alignment horizontal="center" wrapText="1"/>
    </xf>
    <xf numFmtId="0" fontId="2" fillId="0" borderId="31" xfId="0" applyFont="1" applyFill="1" applyBorder="1" applyAlignment="1">
      <alignment horizontal="center"/>
    </xf>
    <xf numFmtId="0" fontId="2" fillId="0" borderId="4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2" fillId="0" borderId="30" xfId="0" applyFont="1" applyBorder="1" applyAlignment="1">
      <alignment horizontal="center"/>
    </xf>
    <xf numFmtId="164" fontId="0" fillId="0" borderId="3" xfId="0" applyNumberFormat="1" applyFont="1" applyFill="1" applyBorder="1" applyAlignment="1">
      <alignment horizontal="center"/>
    </xf>
    <xf numFmtId="164" fontId="0" fillId="10" borderId="3" xfId="0" applyNumberFormat="1" applyFont="1" applyFill="1" applyBorder="1" applyAlignment="1" applyProtection="1">
      <alignment horizontal="center"/>
      <protection locked="0"/>
    </xf>
    <xf numFmtId="0" fontId="0" fillId="0" borderId="17" xfId="0" applyBorder="1" applyAlignment="1">
      <alignment horizontal="center"/>
    </xf>
    <xf numFmtId="0" fontId="0" fillId="0" borderId="24" xfId="0" applyBorder="1" applyAlignment="1">
      <alignment horizontal="center"/>
    </xf>
    <xf numFmtId="0" fontId="0" fillId="0" borderId="29" xfId="0" applyFont="1" applyBorder="1" applyAlignment="1">
      <alignment horizontal="center"/>
    </xf>
    <xf numFmtId="0" fontId="0" fillId="0" borderId="48" xfId="0" applyFont="1" applyBorder="1" applyAlignment="1">
      <alignment wrapText="1"/>
    </xf>
    <xf numFmtId="0" fontId="0" fillId="0" borderId="48" xfId="0" applyBorder="1" applyAlignment="1">
      <alignment wrapText="1"/>
    </xf>
    <xf numFmtId="0" fontId="0" fillId="0" borderId="0" xfId="0" applyAlignment="1">
      <alignment wrapText="1"/>
    </xf>
    <xf numFmtId="0" fontId="0" fillId="0" borderId="0" xfId="0" applyBorder="1" applyAlignment="1">
      <alignment horizontal="center" wrapText="1"/>
    </xf>
    <xf numFmtId="0" fontId="2" fillId="0" borderId="48" xfId="0" applyFont="1" applyBorder="1" applyAlignment="1">
      <alignment horizontal="center"/>
    </xf>
    <xf numFmtId="1" fontId="0" fillId="0" borderId="44" xfId="0" applyNumberFormat="1" applyBorder="1" applyAlignment="1">
      <alignment horizontal="center"/>
    </xf>
    <xf numFmtId="0" fontId="0" fillId="0" borderId="18" xfId="0" applyBorder="1" applyAlignment="1">
      <alignment/>
    </xf>
    <xf numFmtId="1" fontId="0" fillId="0" borderId="8" xfId="0" applyNumberFormat="1" applyFill="1" applyBorder="1" applyAlignment="1">
      <alignment horizontal="center"/>
    </xf>
    <xf numFmtId="0" fontId="0" fillId="0" borderId="25" xfId="0" applyFont="1"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164" fontId="0" fillId="0" borderId="2" xfId="0" applyNumberFormat="1" applyFill="1" applyBorder="1" applyAlignment="1">
      <alignment horizontal="center"/>
    </xf>
    <xf numFmtId="164" fontId="0" fillId="0" borderId="8" xfId="0" applyNumberFormat="1" applyFill="1" applyBorder="1" applyAlignment="1">
      <alignment horizontal="center"/>
    </xf>
    <xf numFmtId="0" fontId="0" fillId="0" borderId="9" xfId="0" applyBorder="1" applyAlignment="1">
      <alignment horizontal="center"/>
    </xf>
    <xf numFmtId="164" fontId="0" fillId="10" borderId="5" xfId="0" applyNumberFormat="1" applyFill="1" applyBorder="1" applyAlignment="1" applyProtection="1">
      <alignment horizontal="center"/>
      <protection locked="0"/>
    </xf>
    <xf numFmtId="0" fontId="0" fillId="0" borderId="2" xfId="0" applyFill="1" applyBorder="1" applyAlignment="1">
      <alignment horizontal="center"/>
    </xf>
    <xf numFmtId="0" fontId="0" fillId="0" borderId="8" xfId="0" applyFill="1" applyBorder="1" applyAlignment="1">
      <alignment horizontal="center"/>
    </xf>
    <xf numFmtId="164" fontId="0" fillId="10" borderId="8" xfId="0" applyNumberFormat="1" applyFill="1" applyBorder="1" applyAlignment="1" applyProtection="1">
      <alignment horizontal="center"/>
      <protection locked="0"/>
    </xf>
    <xf numFmtId="164" fontId="0" fillId="0" borderId="8" xfId="0" applyNumberFormat="1" applyFont="1" applyBorder="1" applyAlignment="1">
      <alignment horizontal="center"/>
    </xf>
    <xf numFmtId="164" fontId="0" fillId="0" borderId="1" xfId="0" applyNumberFormat="1" applyFont="1" applyBorder="1" applyAlignment="1">
      <alignment horizontal="center"/>
    </xf>
    <xf numFmtId="0" fontId="0" fillId="0" borderId="12" xfId="0" applyBorder="1" applyAlignment="1">
      <alignment wrapText="1"/>
    </xf>
    <xf numFmtId="0" fontId="0" fillId="2" borderId="22" xfId="0" applyFill="1" applyBorder="1" applyAlignment="1">
      <alignment horizontal="center" vertical="center"/>
    </xf>
    <xf numFmtId="0" fontId="0" fillId="0" borderId="1" xfId="0" applyBorder="1" applyAlignment="1">
      <alignment horizontal="center" wrapText="1"/>
    </xf>
    <xf numFmtId="1" fontId="0" fillId="0" borderId="8" xfId="0" applyNumberFormat="1" applyFont="1" applyFill="1" applyBorder="1" applyAlignment="1">
      <alignment horizontal="center"/>
    </xf>
    <xf numFmtId="1" fontId="0" fillId="0" borderId="7" xfId="0" applyNumberFormat="1" applyFont="1" applyFill="1" applyBorder="1" applyAlignment="1">
      <alignment horizontal="center"/>
    </xf>
    <xf numFmtId="0" fontId="0" fillId="0" borderId="3" xfId="0" applyBorder="1" applyAlignment="1">
      <alignment/>
    </xf>
    <xf numFmtId="0" fontId="0" fillId="0" borderId="1" xfId="0" applyBorder="1" applyAlignment="1">
      <alignment wrapText="1"/>
    </xf>
    <xf numFmtId="0" fontId="0" fillId="0" borderId="2" xfId="0" applyBorder="1" applyAlignment="1">
      <alignment wrapText="1"/>
    </xf>
    <xf numFmtId="164" fontId="0" fillId="10" borderId="2" xfId="0" applyNumberFormat="1" applyFont="1" applyFill="1" applyBorder="1" applyAlignment="1" applyProtection="1">
      <alignment horizontal="center"/>
      <protection locked="0"/>
    </xf>
    <xf numFmtId="164" fontId="0" fillId="0" borderId="6" xfId="0" applyNumberFormat="1" applyFill="1" applyBorder="1" applyAlignment="1">
      <alignment horizontal="center"/>
    </xf>
    <xf numFmtId="0" fontId="2" fillId="0" borderId="13" xfId="0" applyFont="1" applyBorder="1" applyAlignment="1">
      <alignment horizontal="left" vertical="top"/>
    </xf>
    <xf numFmtId="0" fontId="2" fillId="0" borderId="10" xfId="0" applyFont="1" applyBorder="1" applyAlignment="1">
      <alignment horizontal="left" vertical="top"/>
    </xf>
    <xf numFmtId="164" fontId="0" fillId="10" borderId="15" xfId="0" applyNumberFormat="1" applyFill="1" applyBorder="1" applyAlignment="1" applyProtection="1">
      <alignment horizontal="center"/>
      <protection locked="0"/>
    </xf>
    <xf numFmtId="164" fontId="0" fillId="0" borderId="7" xfId="0" applyNumberFormat="1" applyFont="1" applyBorder="1" applyAlignment="1">
      <alignment horizontal="center"/>
    </xf>
    <xf numFmtId="164" fontId="0" fillId="0" borderId="3" xfId="0" applyNumberFormat="1" applyFont="1" applyBorder="1" applyAlignment="1">
      <alignment horizontal="center"/>
    </xf>
    <xf numFmtId="164" fontId="0" fillId="10" borderId="7" xfId="0" applyNumberFormat="1" applyFill="1" applyBorder="1" applyAlignment="1" applyProtection="1">
      <alignment horizontal="center"/>
      <protection locked="0"/>
    </xf>
    <xf numFmtId="164" fontId="1" fillId="0" borderId="48" xfId="0" applyNumberFormat="1" applyFont="1" applyBorder="1" applyAlignment="1">
      <alignment horizontal="left" vertical="top" wrapText="1"/>
    </xf>
    <xf numFmtId="0" fontId="0" fillId="0" borderId="48" xfId="0" applyBorder="1" applyAlignment="1">
      <alignment vertical="top" wrapText="1"/>
    </xf>
    <xf numFmtId="0" fontId="0" fillId="0" borderId="0" xfId="0" applyAlignment="1">
      <alignment vertical="top" wrapText="1"/>
    </xf>
    <xf numFmtId="0" fontId="0" fillId="0" borderId="1" xfId="0" applyBorder="1" applyAlignment="1">
      <alignment horizontal="center" vertical="top"/>
    </xf>
    <xf numFmtId="0" fontId="0" fillId="0" borderId="5" xfId="0" applyFill="1" applyBorder="1" applyAlignment="1">
      <alignment vertical="top"/>
    </xf>
    <xf numFmtId="0" fontId="0" fillId="0" borderId="1" xfId="0" applyFont="1" applyBorder="1" applyAlignment="1">
      <alignment horizontal="center" vertical="top"/>
    </xf>
    <xf numFmtId="2" fontId="2" fillId="0" borderId="33" xfId="0" applyNumberFormat="1" applyFont="1" applyFill="1" applyBorder="1" applyAlignment="1">
      <alignment horizontal="center" wrapText="1"/>
    </xf>
    <xf numFmtId="49" fontId="0" fillId="0" borderId="8" xfId="0" applyNumberFormat="1" applyFont="1" applyFill="1" applyBorder="1" applyAlignment="1">
      <alignment/>
    </xf>
    <xf numFmtId="164" fontId="0" fillId="0" borderId="1" xfId="0" applyNumberFormat="1" applyFont="1" applyFill="1" applyBorder="1" applyAlignment="1">
      <alignment horizontal="center"/>
    </xf>
    <xf numFmtId="0" fontId="18" fillId="0" borderId="48" xfId="0" applyFont="1" applyBorder="1" applyAlignment="1">
      <alignment horizontal="left" vertical="center"/>
    </xf>
    <xf numFmtId="0" fontId="20" fillId="0" borderId="0" xfId="0" applyFont="1" applyFill="1" applyAlignment="1">
      <alignment horizontal="center" vertical="center" wrapText="1"/>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48" xfId="0" applyFont="1" applyFill="1" applyBorder="1" applyAlignment="1">
      <alignment horizontal="center" vertical="center"/>
    </xf>
    <xf numFmtId="0" fontId="10" fillId="0" borderId="30" xfId="0" applyFont="1" applyFill="1" applyBorder="1" applyAlignment="1">
      <alignment horizontal="center" vertical="center"/>
    </xf>
    <xf numFmtId="2" fontId="13" fillId="0" borderId="1" xfId="0" applyNumberFormat="1" applyFont="1" applyBorder="1" applyAlignment="1">
      <alignment horizontal="center" vertical="center"/>
    </xf>
    <xf numFmtId="0" fontId="12"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8" xfId="0" applyFont="1" applyBorder="1" applyAlignment="1" quotePrefix="1">
      <alignment horizontal="center" vertical="center"/>
    </xf>
    <xf numFmtId="0" fontId="13" fillId="0" borderId="9" xfId="0" applyFont="1" applyBorder="1" applyAlignment="1" quotePrefix="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8" xfId="0" applyFont="1" applyBorder="1" applyAlignment="1">
      <alignment vertical="center"/>
    </xf>
    <xf numFmtId="0" fontId="13" fillId="0" borderId="1" xfId="0" applyFont="1" applyBorder="1" applyAlignment="1">
      <alignment vertical="center"/>
    </xf>
    <xf numFmtId="0" fontId="13" fillId="0" borderId="7" xfId="0" applyFont="1" applyBorder="1" applyAlignment="1">
      <alignment vertical="center"/>
    </xf>
    <xf numFmtId="0" fontId="13" fillId="0" borderId="3" xfId="0" applyFont="1" applyBorder="1" applyAlignment="1">
      <alignment vertical="center"/>
    </xf>
    <xf numFmtId="166" fontId="13" fillId="0" borderId="1" xfId="0" applyNumberFormat="1" applyFont="1" applyBorder="1" applyAlignment="1">
      <alignment horizontal="center" vertical="center"/>
    </xf>
    <xf numFmtId="2" fontId="13" fillId="0" borderId="3" xfId="0" applyNumberFormat="1" applyFont="1" applyBorder="1" applyAlignment="1">
      <alignment horizontal="center" vertical="center"/>
    </xf>
    <xf numFmtId="164" fontId="13" fillId="0" borderId="6"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164" fontId="13" fillId="0" borderId="2" xfId="0" applyNumberFormat="1" applyFont="1" applyBorder="1" applyAlignment="1">
      <alignment horizontal="center" vertical="center"/>
    </xf>
    <xf numFmtId="0" fontId="13" fillId="0" borderId="8" xfId="0" applyFont="1" applyBorder="1" applyAlignment="1">
      <alignment horizontal="center" vertical="center"/>
    </xf>
    <xf numFmtId="164" fontId="13" fillId="0" borderId="2" xfId="0" applyNumberFormat="1" applyFont="1" applyBorder="1" applyAlignment="1">
      <alignment horizontal="center" vertical="center" wrapText="1"/>
    </xf>
    <xf numFmtId="164" fontId="13" fillId="0" borderId="5" xfId="0" applyNumberFormat="1" applyFont="1" applyBorder="1" applyAlignment="1">
      <alignment horizontal="center" vertical="center" wrapText="1"/>
    </xf>
    <xf numFmtId="0" fontId="13" fillId="0" borderId="44" xfId="0" applyFont="1" applyBorder="1" applyAlignment="1" quotePrefix="1">
      <alignment horizontal="center" vertical="center"/>
    </xf>
    <xf numFmtId="0" fontId="13" fillId="0" borderId="3" xfId="0" applyFont="1" applyBorder="1" applyAlignment="1" quotePrefix="1">
      <alignment horizontal="center" vertical="center"/>
    </xf>
    <xf numFmtId="0" fontId="13" fillId="0" borderId="3" xfId="0" applyFont="1" applyBorder="1" applyAlignment="1">
      <alignment horizontal="center" vertical="center"/>
    </xf>
    <xf numFmtId="0" fontId="28" fillId="0" borderId="15" xfId="0" applyFont="1" applyBorder="1" applyAlignment="1">
      <alignment horizontal="left" vertical="center" wrapText="1"/>
    </xf>
    <xf numFmtId="0" fontId="13" fillId="0" borderId="1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3" fillId="0" borderId="0" xfId="0" applyFont="1" applyBorder="1" applyAlignment="1">
      <alignment vertical="center"/>
    </xf>
    <xf numFmtId="0" fontId="13" fillId="0" borderId="14" xfId="0" applyFont="1" applyBorder="1" applyAlignment="1">
      <alignment vertical="center"/>
    </xf>
    <xf numFmtId="0" fontId="13" fillId="0" borderId="30" xfId="0" applyFont="1" applyBorder="1" applyAlignment="1">
      <alignment vertical="center"/>
    </xf>
    <xf numFmtId="0" fontId="13" fillId="0" borderId="29" xfId="0" applyFont="1" applyBorder="1" applyAlignment="1">
      <alignment vertical="center"/>
    </xf>
    <xf numFmtId="0" fontId="13" fillId="0" borderId="49" xfId="0" applyFont="1" applyBorder="1" applyAlignment="1">
      <alignment vertical="center"/>
    </xf>
    <xf numFmtId="0" fontId="13" fillId="0" borderId="45" xfId="0" applyFont="1" applyBorder="1" applyAlignment="1">
      <alignment vertical="center"/>
    </xf>
    <xf numFmtId="0" fontId="12" fillId="0" borderId="22" xfId="0" applyFont="1" applyBorder="1" applyAlignment="1">
      <alignment horizontal="center" vertical="center"/>
    </xf>
    <xf numFmtId="0" fontId="13" fillId="0" borderId="5" xfId="0" applyFont="1" applyFill="1" applyBorder="1" applyAlignment="1">
      <alignment vertical="center"/>
    </xf>
    <xf numFmtId="0" fontId="13" fillId="0" borderId="8" xfId="0" applyFont="1" applyFill="1" applyBorder="1" applyAlignment="1">
      <alignment vertical="center"/>
    </xf>
    <xf numFmtId="0" fontId="13" fillId="0" borderId="5" xfId="0" applyFont="1" applyBorder="1" applyAlignment="1">
      <alignment vertical="center"/>
    </xf>
    <xf numFmtId="0" fontId="13" fillId="0" borderId="15" xfId="0" applyFont="1" applyBorder="1" applyAlignment="1">
      <alignment vertical="center"/>
    </xf>
    <xf numFmtId="166" fontId="13" fillId="3" borderId="4" xfId="0" applyNumberFormat="1" applyFont="1" applyFill="1" applyBorder="1" applyAlignment="1" applyProtection="1">
      <alignment horizontal="center" vertical="center"/>
      <protection locked="0"/>
    </xf>
    <xf numFmtId="166" fontId="13" fillId="3" borderId="28" xfId="0" applyNumberFormat="1" applyFont="1" applyFill="1" applyBorder="1" applyAlignment="1" applyProtection="1">
      <alignment horizontal="center" vertical="center"/>
      <protection locked="0"/>
    </xf>
    <xf numFmtId="166" fontId="13" fillId="3" borderId="11" xfId="0" applyNumberFormat="1" applyFont="1" applyFill="1" applyBorder="1" applyAlignment="1" applyProtection="1">
      <alignment horizontal="center" vertical="center"/>
      <protection locked="0"/>
    </xf>
    <xf numFmtId="166" fontId="13" fillId="3" borderId="25" xfId="0" applyNumberFormat="1" applyFont="1" applyFill="1" applyBorder="1" applyAlignment="1" applyProtection="1">
      <alignment horizontal="center" vertical="center"/>
      <protection locked="0"/>
    </xf>
    <xf numFmtId="2" fontId="13" fillId="0" borderId="15" xfId="0" applyNumberFormat="1" applyFont="1" applyFill="1" applyBorder="1" applyAlignment="1">
      <alignment horizontal="center" vertical="center"/>
    </xf>
    <xf numFmtId="0" fontId="13" fillId="0" borderId="7" xfId="0" applyFont="1" applyFill="1" applyBorder="1" applyAlignment="1">
      <alignment vertical="center"/>
    </xf>
    <xf numFmtId="0" fontId="13" fillId="0" borderId="1" xfId="0" applyFont="1" applyBorder="1" applyAlignment="1">
      <alignment horizontal="center" vertical="center" wrapText="1"/>
    </xf>
    <xf numFmtId="0" fontId="12" fillId="0" borderId="8"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quotePrefix="1">
      <alignment horizontal="center" vertical="center"/>
    </xf>
    <xf numFmtId="0" fontId="13" fillId="0" borderId="2" xfId="0" applyFont="1" applyBorder="1" applyAlignment="1" quotePrefix="1">
      <alignment horizontal="center" vertical="center"/>
    </xf>
    <xf numFmtId="0" fontId="17" fillId="3" borderId="1" xfId="0" applyFont="1" applyFill="1" applyBorder="1" applyAlignment="1" applyProtection="1">
      <alignment horizontal="center" vertical="center"/>
      <protection locked="0"/>
    </xf>
    <xf numFmtId="0" fontId="12" fillId="0" borderId="11" xfId="0" applyFont="1" applyBorder="1" applyAlignment="1">
      <alignment horizontal="center" vertical="center"/>
    </xf>
    <xf numFmtId="0" fontId="13" fillId="0" borderId="31" xfId="0" applyFont="1" applyBorder="1" applyAlignment="1" quotePrefix="1">
      <alignment horizontal="center" vertical="center"/>
    </xf>
    <xf numFmtId="0" fontId="13" fillId="0" borderId="16" xfId="0" applyFont="1" applyBorder="1" applyAlignment="1">
      <alignment vertical="center"/>
    </xf>
    <xf numFmtId="0" fontId="13" fillId="0" borderId="16" xfId="0" applyFont="1" applyBorder="1" applyAlignment="1" quotePrefix="1">
      <alignment horizontal="center" vertical="center"/>
    </xf>
    <xf numFmtId="0" fontId="13" fillId="0" borderId="23" xfId="0" applyFont="1" applyBorder="1" applyAlignment="1" quotePrefix="1">
      <alignment horizontal="center" vertical="center"/>
    </xf>
    <xf numFmtId="164" fontId="13" fillId="0" borderId="1" xfId="0" applyNumberFormat="1" applyFont="1" applyBorder="1" applyAlignment="1">
      <alignment horizontal="center" vertical="center"/>
    </xf>
    <xf numFmtId="164" fontId="13" fillId="0" borderId="22"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vertical="center"/>
    </xf>
    <xf numFmtId="0" fontId="12" fillId="0" borderId="44" xfId="0"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vertical="center"/>
    </xf>
    <xf numFmtId="0" fontId="12" fillId="0" borderId="22" xfId="0" applyFont="1" applyBorder="1" applyAlignment="1">
      <alignment vertical="center"/>
    </xf>
    <xf numFmtId="0" fontId="12" fillId="0" borderId="14" xfId="0" applyFont="1" applyBorder="1" applyAlignment="1">
      <alignment vertical="center"/>
    </xf>
    <xf numFmtId="0" fontId="12" fillId="0" borderId="49" xfId="0" applyFont="1" applyBorder="1" applyAlignment="1">
      <alignment vertical="center"/>
    </xf>
    <xf numFmtId="0" fontId="12" fillId="0" borderId="13" xfId="0" applyFont="1" applyBorder="1" applyAlignment="1">
      <alignment vertical="center"/>
    </xf>
    <xf numFmtId="0" fontId="12" fillId="0" borderId="10" xfId="0" applyFont="1" applyBorder="1" applyAlignment="1">
      <alignment vertical="center"/>
    </xf>
    <xf numFmtId="0" fontId="13" fillId="0" borderId="1" xfId="0" applyFont="1" applyFill="1" applyBorder="1" applyAlignment="1">
      <alignment vertical="center"/>
    </xf>
    <xf numFmtId="2" fontId="17" fillId="3" borderId="3" xfId="0" applyNumberFormat="1" applyFont="1" applyFill="1" applyBorder="1" applyAlignment="1" applyProtection="1">
      <alignment horizontal="center" vertical="center"/>
      <protection locked="0"/>
    </xf>
    <xf numFmtId="0" fontId="17" fillId="3" borderId="3" xfId="0" applyFont="1" applyFill="1" applyBorder="1" applyAlignment="1" applyProtection="1">
      <alignment vertical="center"/>
      <protection locked="0"/>
    </xf>
    <xf numFmtId="166" fontId="13" fillId="3" borderId="45" xfId="0" applyNumberFormat="1" applyFont="1" applyFill="1" applyBorder="1" applyAlignment="1" applyProtection="1">
      <alignment horizontal="center" vertical="center"/>
      <protection locked="0"/>
    </xf>
    <xf numFmtId="166" fontId="13" fillId="3" borderId="0" xfId="0" applyNumberFormat="1" applyFont="1" applyFill="1" applyBorder="1" applyAlignment="1" applyProtection="1">
      <alignment horizontal="center" vertical="center"/>
      <protection locked="0"/>
    </xf>
    <xf numFmtId="0" fontId="20" fillId="0" borderId="8" xfId="0" applyFont="1" applyBorder="1" applyAlignment="1">
      <alignment horizontal="center" vertical="center"/>
    </xf>
    <xf numFmtId="0" fontId="13" fillId="0" borderId="6" xfId="0" applyFont="1" applyBorder="1" applyAlignment="1" quotePrefix="1">
      <alignment horizontal="center" vertical="center"/>
    </xf>
    <xf numFmtId="0" fontId="13" fillId="0" borderId="7" xfId="0" applyFont="1" applyBorder="1" applyAlignment="1">
      <alignment horizontal="center" vertical="center"/>
    </xf>
    <xf numFmtId="164" fontId="13" fillId="0" borderId="8" xfId="0" applyNumberFormat="1" applyFont="1" applyBorder="1" applyAlignment="1">
      <alignment horizontal="center" vertical="center"/>
    </xf>
    <xf numFmtId="164" fontId="13" fillId="0" borderId="18" xfId="0" applyNumberFormat="1" applyFont="1" applyFill="1" applyBorder="1" applyAlignment="1" quotePrefix="1">
      <alignment horizontal="center" vertical="center"/>
    </xf>
    <xf numFmtId="0" fontId="13" fillId="0" borderId="18" xfId="0" applyFont="1" applyBorder="1" applyAlignment="1">
      <alignment vertical="center"/>
    </xf>
    <xf numFmtId="0" fontId="13" fillId="0" borderId="1" xfId="0" applyFont="1" applyBorder="1" applyAlignment="1" quotePrefix="1">
      <alignment horizontal="center" vertical="center" wrapText="1"/>
    </xf>
    <xf numFmtId="164" fontId="13" fillId="0" borderId="53" xfId="0" applyNumberFormat="1" applyFont="1" applyBorder="1" applyAlignment="1">
      <alignment horizontal="center" vertical="center"/>
    </xf>
    <xf numFmtId="0" fontId="13" fillId="0" borderId="53" xfId="0" applyFont="1" applyBorder="1" applyAlignment="1">
      <alignment horizontal="center" vertical="center"/>
    </xf>
    <xf numFmtId="0" fontId="13" fillId="0" borderId="10" xfId="0" applyFont="1" applyBorder="1" applyAlignment="1">
      <alignment vertical="center"/>
    </xf>
    <xf numFmtId="0" fontId="13" fillId="0" borderId="4" xfId="0" applyFont="1" applyBorder="1" applyAlignment="1">
      <alignment vertical="center"/>
    </xf>
    <xf numFmtId="0" fontId="13" fillId="0" borderId="11" xfId="0" applyFont="1" applyBorder="1" applyAlignment="1">
      <alignment horizontal="center" vertical="center"/>
    </xf>
    <xf numFmtId="0" fontId="13" fillId="0" borderId="11" xfId="0" applyFont="1" applyBorder="1" applyAlignment="1">
      <alignment vertical="center"/>
    </xf>
    <xf numFmtId="0" fontId="13" fillId="0" borderId="50" xfId="0" applyFont="1" applyBorder="1" applyAlignment="1">
      <alignment horizontal="center" vertical="center"/>
    </xf>
    <xf numFmtId="0" fontId="13" fillId="0" borderId="12" xfId="0" applyFont="1" applyFill="1" applyBorder="1" applyAlignment="1">
      <alignment vertical="center"/>
    </xf>
    <xf numFmtId="0" fontId="13" fillId="0" borderId="22" xfId="0" applyFont="1" applyFill="1" applyBorder="1" applyAlignment="1">
      <alignment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164" fontId="13" fillId="0" borderId="3" xfId="0" applyNumberFormat="1" applyFont="1" applyFill="1" applyBorder="1" applyAlignment="1">
      <alignment horizontal="center" vertical="center"/>
    </xf>
    <xf numFmtId="164" fontId="13" fillId="0" borderId="6" xfId="0" applyNumberFormat="1" applyFont="1" applyFill="1" applyBorder="1" applyAlignment="1">
      <alignment horizontal="center" vertical="center"/>
    </xf>
    <xf numFmtId="0" fontId="12" fillId="0" borderId="22"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9" xfId="0" applyFont="1" applyBorder="1" applyAlignment="1">
      <alignment horizontal="center" vertical="center"/>
    </xf>
    <xf numFmtId="2" fontId="13" fillId="0" borderId="22" xfId="0" applyNumberFormat="1" applyFont="1" applyBorder="1" applyAlignment="1">
      <alignment horizontal="center" vertical="center"/>
    </xf>
    <xf numFmtId="0" fontId="13" fillId="0" borderId="17" xfId="0" applyFont="1" applyBorder="1" applyAlignment="1">
      <alignment horizontal="center" vertical="center"/>
    </xf>
    <xf numFmtId="164" fontId="13" fillId="0" borderId="11" xfId="0" applyNumberFormat="1" applyFont="1" applyBorder="1" applyAlignment="1">
      <alignment horizontal="center" vertical="center"/>
    </xf>
    <xf numFmtId="164" fontId="13" fillId="0" borderId="24"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vertical="center"/>
    </xf>
    <xf numFmtId="164" fontId="13" fillId="0" borderId="4" xfId="0" applyNumberFormat="1" applyFont="1" applyBorder="1" applyAlignment="1">
      <alignment horizontal="center" vertical="center"/>
    </xf>
    <xf numFmtId="0" fontId="13" fillId="0" borderId="1" xfId="0" applyFont="1" applyBorder="1" applyAlignment="1">
      <alignment vertical="center" wrapText="1"/>
    </xf>
    <xf numFmtId="0" fontId="12" fillId="0" borderId="2" xfId="0" applyFont="1" applyBorder="1" applyAlignment="1">
      <alignment horizontal="center" vertical="center" wrapText="1"/>
    </xf>
    <xf numFmtId="164" fontId="13" fillId="0" borderId="6" xfId="0" applyNumberFormat="1" applyFont="1" applyBorder="1" applyAlignment="1">
      <alignment horizontal="center" vertical="center"/>
    </xf>
    <xf numFmtId="164" fontId="13" fillId="0" borderId="7" xfId="0" applyNumberFormat="1" applyFont="1" applyBorder="1" applyAlignment="1">
      <alignment horizontal="center" vertical="center"/>
    </xf>
    <xf numFmtId="2" fontId="13" fillId="0" borderId="8" xfId="0" applyNumberFormat="1" applyFont="1" applyFill="1" applyBorder="1" applyAlignment="1">
      <alignment horizontal="left" vertical="center"/>
    </xf>
    <xf numFmtId="0" fontId="13" fillId="0" borderId="2" xfId="0" applyFont="1" applyBorder="1" applyAlignment="1">
      <alignment vertical="center"/>
    </xf>
    <xf numFmtId="2" fontId="13" fillId="0" borderId="45" xfId="0" applyNumberFormat="1" applyFont="1" applyBorder="1" applyAlignment="1">
      <alignment horizontal="center" vertical="center"/>
    </xf>
    <xf numFmtId="0" fontId="13" fillId="0" borderId="0" xfId="0" applyFont="1" applyAlignment="1">
      <alignment horizontal="center" vertical="center"/>
    </xf>
    <xf numFmtId="0" fontId="12" fillId="0" borderId="25"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13" fillId="0" borderId="28" xfId="0" applyFont="1" applyBorder="1" applyAlignment="1">
      <alignment horizontal="left" vertical="center" wrapText="1"/>
    </xf>
    <xf numFmtId="0" fontId="13" fillId="0" borderId="13" xfId="0" applyFont="1" applyBorder="1" applyAlignment="1">
      <alignment horizontal="left" vertical="center" wrapText="1"/>
    </xf>
    <xf numFmtId="2" fontId="12" fillId="0" borderId="1" xfId="0" applyNumberFormat="1" applyFont="1" applyFill="1" applyBorder="1" applyAlignment="1">
      <alignment horizontal="center" vertical="center" wrapText="1"/>
    </xf>
    <xf numFmtId="0" fontId="13" fillId="0" borderId="25"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13" fillId="0" borderId="8" xfId="0" applyFont="1" applyBorder="1" applyAlignment="1">
      <alignment horizontal="left" vertical="center"/>
    </xf>
    <xf numFmtId="164" fontId="13" fillId="0" borderId="2" xfId="0" applyNumberFormat="1" applyFont="1" applyFill="1" applyBorder="1" applyAlignment="1">
      <alignment horizontal="center" vertical="center"/>
    </xf>
    <xf numFmtId="0" fontId="13" fillId="0" borderId="5" xfId="0" applyFont="1" applyFill="1" applyBorder="1" applyAlignment="1">
      <alignment horizontal="center" vertical="center"/>
    </xf>
    <xf numFmtId="164" fontId="13" fillId="0" borderId="1"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2" fillId="0" borderId="8" xfId="0" applyFont="1" applyBorder="1" applyAlignment="1">
      <alignment horizontal="center" vertical="center" wrapText="1"/>
    </xf>
    <xf numFmtId="2" fontId="13" fillId="0" borderId="7" xfId="0" applyNumberFormat="1" applyFont="1" applyFill="1" applyBorder="1" applyAlignment="1">
      <alignment horizontal="left" vertical="center"/>
    </xf>
    <xf numFmtId="2"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vertical="center"/>
    </xf>
    <xf numFmtId="0" fontId="13" fillId="0" borderId="28" xfId="0" applyFont="1" applyBorder="1" applyAlignment="1">
      <alignment vertical="center"/>
    </xf>
    <xf numFmtId="164" fontId="13" fillId="0" borderId="12" xfId="0" applyNumberFormat="1" applyFont="1" applyBorder="1" applyAlignment="1">
      <alignment horizontal="center" vertical="center"/>
    </xf>
    <xf numFmtId="164" fontId="13" fillId="0" borderId="13" xfId="0" applyNumberFormat="1" applyFont="1" applyBorder="1" applyAlignment="1">
      <alignment horizontal="center" vertical="center"/>
    </xf>
    <xf numFmtId="164" fontId="13" fillId="0" borderId="10" xfId="0" applyNumberFormat="1" applyFont="1" applyBorder="1" applyAlignment="1">
      <alignment horizontal="center" vertical="center"/>
    </xf>
    <xf numFmtId="164" fontId="13" fillId="0" borderId="29" xfId="0" applyNumberFormat="1" applyFont="1" applyBorder="1" applyAlignment="1">
      <alignment horizontal="center" vertical="center"/>
    </xf>
    <xf numFmtId="164" fontId="13" fillId="0" borderId="17" xfId="0" applyNumberFormat="1" applyFont="1" applyBorder="1" applyAlignment="1">
      <alignment horizontal="center" vertical="center"/>
    </xf>
    <xf numFmtId="0" fontId="13" fillId="0" borderId="24" xfId="0" applyFont="1" applyBorder="1" applyAlignment="1">
      <alignment horizontal="center" vertical="center"/>
    </xf>
    <xf numFmtId="0" fontId="13" fillId="0" borderId="29" xfId="0" applyFont="1" applyBorder="1" applyAlignment="1">
      <alignment horizontal="center" vertical="center"/>
    </xf>
    <xf numFmtId="0" fontId="17" fillId="3" borderId="1" xfId="0" applyFont="1" applyFill="1" applyBorder="1" applyAlignment="1" applyProtection="1">
      <alignment vertical="center"/>
      <protection locked="0"/>
    </xf>
    <xf numFmtId="2" fontId="13" fillId="0" borderId="6" xfId="0" applyNumberFormat="1" applyFont="1" applyFill="1" applyBorder="1" applyAlignment="1">
      <alignment horizontal="center" vertical="center"/>
    </xf>
    <xf numFmtId="0" fontId="13" fillId="0" borderId="15" xfId="0" applyFont="1" applyFill="1" applyBorder="1" applyAlignment="1">
      <alignment vertical="center"/>
    </xf>
    <xf numFmtId="0" fontId="13" fillId="0" borderId="1" xfId="0" applyFont="1" applyBorder="1" applyAlignment="1">
      <alignment horizontal="left" vertical="center"/>
    </xf>
    <xf numFmtId="0" fontId="13" fillId="0" borderId="8" xfId="0" applyFont="1" applyBorder="1" applyAlignment="1">
      <alignment vertical="center" wrapText="1"/>
    </xf>
    <xf numFmtId="0" fontId="13" fillId="0" borderId="2" xfId="0" applyFont="1" applyBorder="1" applyAlignment="1">
      <alignment vertical="center" wrapText="1"/>
    </xf>
    <xf numFmtId="0" fontId="13" fillId="0" borderId="6" xfId="0" applyFont="1" applyBorder="1" applyAlignment="1">
      <alignment vertical="center"/>
    </xf>
    <xf numFmtId="0" fontId="17" fillId="5" borderId="1" xfId="0" applyFont="1" applyFill="1" applyBorder="1" applyAlignment="1" applyProtection="1">
      <alignment horizontal="center" vertical="center"/>
      <protection locked="0"/>
    </xf>
    <xf numFmtId="0" fontId="17" fillId="5" borderId="1" xfId="0" applyFont="1" applyFill="1" applyBorder="1" applyAlignment="1" applyProtection="1">
      <alignment vertical="center"/>
      <protection locked="0"/>
    </xf>
    <xf numFmtId="0" fontId="12" fillId="0" borderId="18" xfId="0" applyFont="1" applyFill="1" applyBorder="1" applyAlignment="1">
      <alignment horizontal="center" vertical="center"/>
    </xf>
    <xf numFmtId="0" fontId="13" fillId="0" borderId="18" xfId="0" applyFont="1" applyFill="1" applyBorder="1" applyAlignment="1">
      <alignment vertical="center"/>
    </xf>
    <xf numFmtId="0" fontId="16" fillId="5" borderId="1" xfId="0" applyFont="1" applyFill="1" applyBorder="1" applyAlignment="1" applyProtection="1">
      <alignment horizontal="center" vertical="center"/>
      <protection locked="0"/>
    </xf>
    <xf numFmtId="0" fontId="16" fillId="5" borderId="1" xfId="0" applyFont="1" applyFill="1" applyBorder="1" applyAlignment="1" applyProtection="1">
      <alignment vertical="center"/>
      <protection locked="0"/>
    </xf>
    <xf numFmtId="3" fontId="17" fillId="3" borderId="8" xfId="0" applyNumberFormat="1" applyFont="1" applyFill="1" applyBorder="1" applyAlignment="1" applyProtection="1">
      <alignment horizontal="center" vertical="center"/>
      <protection locked="0"/>
    </xf>
    <xf numFmtId="3" fontId="17" fillId="3" borderId="1" xfId="0" applyNumberFormat="1" applyFont="1" applyFill="1" applyBorder="1" applyAlignment="1" applyProtection="1">
      <alignment vertical="center"/>
      <protection locked="0"/>
    </xf>
    <xf numFmtId="0" fontId="13" fillId="0" borderId="13" xfId="0" applyFont="1" applyBorder="1" applyAlignment="1">
      <alignment vertical="center"/>
    </xf>
    <xf numFmtId="0" fontId="13" fillId="0" borderId="12" xfId="0" applyFont="1" applyBorder="1" applyAlignment="1">
      <alignment vertical="center"/>
    </xf>
    <xf numFmtId="0" fontId="13" fillId="0" borderId="12" xfId="0" applyFont="1" applyBorder="1" applyAlignment="1">
      <alignment horizontal="center" vertical="center" wrapText="1"/>
    </xf>
    <xf numFmtId="0" fontId="13" fillId="0" borderId="22" xfId="0" applyFont="1" applyBorder="1" applyAlignment="1">
      <alignment vertical="center" wrapText="1"/>
    </xf>
    <xf numFmtId="0" fontId="13" fillId="0" borderId="13" xfId="0" applyFont="1" applyBorder="1" applyAlignment="1">
      <alignment vertical="center" wrapText="1"/>
    </xf>
    <xf numFmtId="0" fontId="13" fillId="0" borderId="10" xfId="0" applyFont="1" applyBorder="1" applyAlignment="1">
      <alignment vertical="center" wrapText="1"/>
    </xf>
    <xf numFmtId="0" fontId="13" fillId="0" borderId="22" xfId="0" applyFont="1" applyBorder="1" applyAlignment="1">
      <alignment horizontal="center" vertical="center" wrapText="1"/>
    </xf>
    <xf numFmtId="0" fontId="20" fillId="0" borderId="1" xfId="0" applyFont="1" applyBorder="1" applyAlignment="1">
      <alignment horizontal="center" vertical="center"/>
    </xf>
    <xf numFmtId="2" fontId="13" fillId="0" borderId="6" xfId="0" applyNumberFormat="1" applyFont="1" applyBorder="1" applyAlignment="1">
      <alignment horizontal="center" vertical="center"/>
    </xf>
    <xf numFmtId="0" fontId="13" fillId="0" borderId="15" xfId="0" applyFont="1" applyFill="1" applyBorder="1" applyAlignment="1">
      <alignment horizontal="center" vertical="center"/>
    </xf>
    <xf numFmtId="2" fontId="13" fillId="0" borderId="7" xfId="0" applyNumberFormat="1" applyFont="1" applyFill="1" applyBorder="1" applyAlignment="1">
      <alignment horizontal="center" vertical="center"/>
    </xf>
    <xf numFmtId="0" fontId="13" fillId="0" borderId="22" xfId="0" applyFont="1" applyBorder="1" applyAlignment="1">
      <alignment horizontal="left" vertical="center"/>
    </xf>
    <xf numFmtId="0" fontId="13" fillId="0" borderId="49" xfId="0" applyFont="1" applyBorder="1" applyAlignment="1">
      <alignment horizontal="left" vertical="center"/>
    </xf>
    <xf numFmtId="0" fontId="13" fillId="0" borderId="11" xfId="0" applyFont="1" applyBorder="1" applyAlignment="1">
      <alignment vertical="center" wrapText="1"/>
    </xf>
    <xf numFmtId="0" fontId="13" fillId="0" borderId="4" xfId="0" applyFont="1" applyBorder="1" applyAlignment="1">
      <alignment vertical="center" wrapText="1"/>
    </xf>
    <xf numFmtId="0" fontId="13" fillId="0" borderId="10" xfId="0" applyFont="1" applyBorder="1" applyAlignment="1">
      <alignment horizontal="left" vertical="center"/>
    </xf>
    <xf numFmtId="0" fontId="12" fillId="0" borderId="28" xfId="0" applyFont="1" applyFill="1" applyBorder="1" applyAlignment="1">
      <alignment horizontal="left" vertical="center"/>
    </xf>
    <xf numFmtId="2" fontId="13"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12" xfId="0" applyFont="1" applyBorder="1" applyAlignment="1">
      <alignment horizontal="left" vertical="center"/>
    </xf>
    <xf numFmtId="0" fontId="12" fillId="0" borderId="0" xfId="0" applyFont="1" applyBorder="1" applyAlignment="1">
      <alignment horizontal="left" vertical="center" wrapText="1"/>
    </xf>
    <xf numFmtId="0" fontId="13" fillId="0" borderId="14" xfId="0" applyFont="1" applyBorder="1" applyAlignment="1">
      <alignment horizontal="left" vertical="center"/>
    </xf>
    <xf numFmtId="0" fontId="13" fillId="0" borderId="0" xfId="0" applyFont="1" applyBorder="1" applyAlignment="1">
      <alignment horizontal="left" vertical="center"/>
    </xf>
    <xf numFmtId="0" fontId="13" fillId="0" borderId="28"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center" vertical="center" wrapText="1"/>
    </xf>
    <xf numFmtId="0" fontId="13" fillId="0" borderId="49" xfId="0" applyFont="1" applyBorder="1" applyAlignment="1">
      <alignment horizontal="center" vertical="center" wrapText="1"/>
    </xf>
    <xf numFmtId="164" fontId="13" fillId="0" borderId="3" xfId="0" applyNumberFormat="1" applyFont="1" applyBorder="1" applyAlignment="1">
      <alignment horizontal="center" vertical="center"/>
    </xf>
    <xf numFmtId="1" fontId="13" fillId="0" borderId="1" xfId="0" applyNumberFormat="1" applyFont="1" applyFill="1" applyBorder="1" applyAlignment="1" quotePrefix="1">
      <alignment horizontal="center" vertical="center"/>
    </xf>
    <xf numFmtId="2" fontId="13" fillId="0" borderId="3" xfId="0" applyNumberFormat="1" applyFont="1" applyFill="1" applyBorder="1" applyAlignment="1">
      <alignment horizontal="left" vertical="center"/>
    </xf>
    <xf numFmtId="0" fontId="13" fillId="0" borderId="11" xfId="0" applyFont="1" applyBorder="1" applyAlignment="1" quotePrefix="1">
      <alignment horizontal="center" vertical="center" wrapText="1"/>
    </xf>
    <xf numFmtId="0" fontId="13" fillId="0" borderId="25"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54" xfId="0" applyFont="1" applyFill="1" applyBorder="1" applyAlignment="1">
      <alignment vertical="center"/>
    </xf>
    <xf numFmtId="0" fontId="13" fillId="0" borderId="53" xfId="0" applyFont="1" applyFill="1" applyBorder="1" applyAlignment="1">
      <alignment vertical="center"/>
    </xf>
    <xf numFmtId="2" fontId="13" fillId="0" borderId="2" xfId="0" applyNumberFormat="1" applyFont="1" applyBorder="1" applyAlignment="1">
      <alignment horizontal="center" vertical="center"/>
    </xf>
    <xf numFmtId="164" fontId="13" fillId="0" borderId="5" xfId="0" applyNumberFormat="1" applyFont="1" applyBorder="1" applyAlignment="1">
      <alignment horizontal="center" vertical="center"/>
    </xf>
    <xf numFmtId="2" fontId="12" fillId="0" borderId="12" xfId="0" applyNumberFormat="1" applyFont="1" applyFill="1" applyBorder="1" applyAlignment="1">
      <alignment horizontal="left" vertical="center" wrapText="1"/>
    </xf>
    <xf numFmtId="0" fontId="13" fillId="0" borderId="14" xfId="0" applyFont="1" applyBorder="1" applyAlignment="1">
      <alignment vertical="center" wrapText="1"/>
    </xf>
    <xf numFmtId="0" fontId="13" fillId="0" borderId="49" xfId="0" applyFont="1" applyBorder="1" applyAlignment="1">
      <alignment vertical="center" wrapText="1"/>
    </xf>
    <xf numFmtId="0" fontId="13" fillId="0" borderId="8" xfId="0" applyFont="1" applyFill="1" applyBorder="1" applyAlignment="1">
      <alignment horizontal="left" vertical="center"/>
    </xf>
    <xf numFmtId="166" fontId="13" fillId="0" borderId="2" xfId="0" applyNumberFormat="1" applyFont="1" applyBorder="1" applyAlignment="1">
      <alignment horizontal="center" vertical="center"/>
    </xf>
    <xf numFmtId="166" fontId="13" fillId="0" borderId="3" xfId="0" applyNumberFormat="1" applyFont="1" applyBorder="1" applyAlignment="1">
      <alignment horizontal="center" vertical="center"/>
    </xf>
    <xf numFmtId="166" fontId="13" fillId="0" borderId="6" xfId="0" applyNumberFormat="1" applyFont="1" applyBorder="1" applyAlignment="1">
      <alignment horizontal="center" vertical="center"/>
    </xf>
    <xf numFmtId="0" fontId="11" fillId="0" borderId="1" xfId="0" applyFont="1" applyBorder="1" applyAlignment="1">
      <alignment vertical="center"/>
    </xf>
    <xf numFmtId="164" fontId="13" fillId="0" borderId="15" xfId="0" applyNumberFormat="1" applyFont="1" applyBorder="1" applyAlignment="1">
      <alignment horizontal="center" vertical="center"/>
    </xf>
    <xf numFmtId="0" fontId="13" fillId="0" borderId="0" xfId="0" applyFont="1" applyAlignment="1">
      <alignment horizontal="left" vertical="center" wrapText="1"/>
    </xf>
    <xf numFmtId="0" fontId="12" fillId="0" borderId="38" xfId="0" applyFont="1" applyBorder="1" applyAlignment="1">
      <alignment horizontal="center" vertical="center"/>
    </xf>
    <xf numFmtId="0" fontId="12" fillId="0" borderId="27"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8"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22" xfId="0" applyFont="1" applyFill="1" applyBorder="1" applyAlignment="1">
      <alignment horizontal="left" vertical="center"/>
    </xf>
    <xf numFmtId="0" fontId="13" fillId="11" borderId="22" xfId="0" applyFont="1" applyFill="1" applyBorder="1" applyAlignment="1">
      <alignment horizontal="left" vertical="center"/>
    </xf>
    <xf numFmtId="0" fontId="13" fillId="11" borderId="1" xfId="0" applyNumberFormat="1" applyFont="1" applyFill="1" applyBorder="1" applyAlignment="1" applyProtection="1">
      <alignment horizontal="left" vertical="center"/>
      <protection/>
    </xf>
    <xf numFmtId="0" fontId="12" fillId="0" borderId="27" xfId="0" applyFont="1" applyFill="1" applyBorder="1" applyAlignment="1">
      <alignment vertical="center"/>
    </xf>
    <xf numFmtId="0" fontId="12" fillId="0" borderId="44" xfId="0" applyFont="1" applyFill="1" applyBorder="1" applyAlignment="1">
      <alignment vertical="center"/>
    </xf>
    <xf numFmtId="0" fontId="13" fillId="11" borderId="1" xfId="0" applyFont="1" applyFill="1" applyBorder="1" applyAlignment="1">
      <alignment horizontal="left" vertical="center"/>
    </xf>
    <xf numFmtId="165" fontId="13" fillId="11" borderId="1" xfId="0" applyNumberFormat="1" applyFont="1" applyFill="1" applyBorder="1" applyAlignment="1">
      <alignment horizontal="left" vertical="center"/>
    </xf>
    <xf numFmtId="0" fontId="13" fillId="11" borderId="2" xfId="0" applyFont="1" applyFill="1" applyBorder="1" applyAlignment="1">
      <alignment horizontal="left" vertical="center"/>
    </xf>
    <xf numFmtId="0" fontId="13" fillId="11"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9" xfId="0" applyFont="1" applyFill="1" applyBorder="1" applyAlignment="1">
      <alignment horizontal="center" vertical="center"/>
    </xf>
    <xf numFmtId="0" fontId="13" fillId="0" borderId="5" xfId="0" applyFont="1" applyBorder="1" applyAlignment="1">
      <alignment horizontal="left" vertical="center"/>
    </xf>
    <xf numFmtId="0" fontId="37" fillId="0" borderId="0" xfId="0" applyFont="1" applyFill="1" applyBorder="1" applyAlignment="1">
      <alignment horizontal="center" vertical="center" wrapText="1"/>
    </xf>
    <xf numFmtId="0" fontId="12" fillId="0" borderId="27" xfId="0" applyFont="1" applyFill="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quotePrefix="1">
      <alignment horizontal="center" vertical="center"/>
    </xf>
    <xf numFmtId="0" fontId="13" fillId="0" borderId="0" xfId="0" applyFont="1" applyFill="1" applyBorder="1" applyAlignment="1" quotePrefix="1">
      <alignment horizontal="center" vertical="center"/>
    </xf>
    <xf numFmtId="0" fontId="13" fillId="0" borderId="0" xfId="0" applyFont="1" applyFill="1" applyBorder="1" applyAlignment="1">
      <alignment horizontal="center" vertical="center"/>
    </xf>
    <xf numFmtId="2" fontId="13" fillId="0" borderId="5" xfId="0" applyNumberFormat="1" applyFont="1" applyBorder="1" applyAlignment="1" quotePrefix="1">
      <alignment horizontal="center" vertical="center"/>
    </xf>
    <xf numFmtId="0" fontId="12" fillId="0" borderId="48" xfId="0" applyFont="1" applyFill="1" applyBorder="1" applyAlignment="1">
      <alignment horizontal="center" vertical="center"/>
    </xf>
    <xf numFmtId="0" fontId="12" fillId="0" borderId="30" xfId="0" applyFont="1" applyFill="1" applyBorder="1" applyAlignment="1">
      <alignment horizontal="center" vertical="center"/>
    </xf>
    <xf numFmtId="0" fontId="31" fillId="0" borderId="5" xfId="0" applyFont="1" applyBorder="1" applyAlignment="1">
      <alignment horizontal="left" vertical="center"/>
    </xf>
    <xf numFmtId="0" fontId="13" fillId="0" borderId="1" xfId="0" applyFont="1" applyFill="1" applyBorder="1" applyAlignment="1">
      <alignment horizontal="left"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166" fontId="13" fillId="0" borderId="15" xfId="0" applyNumberFormat="1" applyFont="1" applyBorder="1" applyAlignment="1">
      <alignment horizontal="center" vertical="center"/>
    </xf>
    <xf numFmtId="166" fontId="13" fillId="0" borderId="5" xfId="0" applyNumberFormat="1" applyFont="1" applyBorder="1" applyAlignment="1">
      <alignment horizontal="center" vertical="center"/>
    </xf>
    <xf numFmtId="0" fontId="13" fillId="0" borderId="27" xfId="0" applyFont="1" applyBorder="1" applyAlignment="1" quotePrefix="1">
      <alignment horizontal="center" vertical="center"/>
    </xf>
    <xf numFmtId="166" fontId="13" fillId="0" borderId="7" xfId="0" applyNumberFormat="1" applyFont="1" applyBorder="1" applyAlignment="1">
      <alignment horizontal="center" vertical="center"/>
    </xf>
    <xf numFmtId="166" fontId="13" fillId="0" borderId="8" xfId="0"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5" borderId="2"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0" fontId="13" fillId="0" borderId="27"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55" xfId="0" applyFont="1" applyBorder="1" applyAlignment="1">
      <alignment horizontal="left" vertical="center"/>
    </xf>
    <xf numFmtId="3" fontId="13" fillId="3" borderId="56" xfId="0" applyNumberFormat="1" applyFont="1" applyFill="1" applyBorder="1" applyAlignment="1" applyProtection="1">
      <alignment horizontal="center" vertical="center"/>
      <protection locked="0"/>
    </xf>
    <xf numFmtId="3" fontId="13" fillId="3" borderId="5" xfId="0" applyNumberFormat="1" applyFont="1" applyFill="1" applyBorder="1" applyAlignment="1" applyProtection="1">
      <alignment horizontal="center" vertical="center"/>
      <protection locked="0"/>
    </xf>
    <xf numFmtId="3" fontId="13" fillId="3" borderId="8" xfId="0" applyNumberFormat="1" applyFont="1" applyFill="1" applyBorder="1" applyAlignment="1" applyProtection="1">
      <alignment horizontal="center" vertical="center"/>
      <protection locked="0"/>
    </xf>
    <xf numFmtId="2" fontId="13" fillId="3" borderId="2" xfId="0" applyNumberFormat="1" applyFont="1" applyFill="1" applyBorder="1" applyAlignment="1" applyProtection="1">
      <alignment horizontal="center" vertical="center"/>
      <protection locked="0"/>
    </xf>
    <xf numFmtId="2" fontId="13" fillId="3" borderId="5" xfId="0" applyNumberFormat="1" applyFont="1" applyFill="1" applyBorder="1" applyAlignment="1" applyProtection="1">
      <alignment horizontal="center" vertical="center"/>
      <protection locked="0"/>
    </xf>
    <xf numFmtId="2" fontId="13" fillId="3" borderId="8" xfId="0" applyNumberFormat="1" applyFont="1" applyFill="1" applyBorder="1" applyAlignment="1" applyProtection="1">
      <alignment horizontal="center" vertical="center"/>
      <protection locked="0"/>
    </xf>
    <xf numFmtId="0" fontId="12" fillId="0" borderId="44" xfId="0" applyFont="1" applyFill="1" applyBorder="1" applyAlignment="1">
      <alignment horizontal="center" vertical="center"/>
    </xf>
    <xf numFmtId="1" fontId="13" fillId="0" borderId="15" xfId="0" applyNumberFormat="1" applyFont="1" applyBorder="1" applyAlignment="1">
      <alignment horizontal="center" vertical="center"/>
    </xf>
    <xf numFmtId="1" fontId="13" fillId="5" borderId="6" xfId="0" applyNumberFormat="1" applyFont="1" applyFill="1" applyBorder="1" applyAlignment="1" applyProtection="1">
      <alignment horizontal="center" vertical="center"/>
      <protection locked="0"/>
    </xf>
    <xf numFmtId="1" fontId="13" fillId="5" borderId="15" xfId="0" applyNumberFormat="1" applyFont="1" applyFill="1" applyBorder="1" applyAlignment="1" applyProtection="1">
      <alignment horizontal="center" vertical="center"/>
      <protection locked="0"/>
    </xf>
    <xf numFmtId="1" fontId="13" fillId="5" borderId="7" xfId="0" applyNumberFormat="1"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3" fontId="13" fillId="3" borderId="2" xfId="0" applyNumberFormat="1" applyFont="1" applyFill="1" applyBorder="1" applyAlignment="1" applyProtection="1">
      <alignment horizontal="center" vertical="center"/>
      <protection locked="0"/>
    </xf>
    <xf numFmtId="0" fontId="13" fillId="0" borderId="5" xfId="0" applyFont="1" applyFill="1" applyBorder="1" applyAlignment="1">
      <alignment horizontal="left" vertical="center"/>
    </xf>
    <xf numFmtId="0" fontId="13" fillId="0" borderId="12" xfId="0" applyFont="1" applyBorder="1" applyAlignment="1">
      <alignment vertical="center" wrapText="1"/>
    </xf>
    <xf numFmtId="0" fontId="13" fillId="0" borderId="11" xfId="0" applyFont="1" applyBorder="1" applyAlignment="1">
      <alignment horizontal="center" vertical="center" wrapText="1"/>
    </xf>
    <xf numFmtId="170" fontId="13" fillId="0" borderId="15" xfId="0" applyNumberFormat="1" applyFont="1" applyFill="1" applyBorder="1" applyAlignment="1">
      <alignment horizontal="center" vertical="center"/>
    </xf>
    <xf numFmtId="170" fontId="13" fillId="0" borderId="7" xfId="0" applyNumberFormat="1" applyFont="1" applyFill="1" applyBorder="1" applyAlignment="1">
      <alignment vertical="center"/>
    </xf>
    <xf numFmtId="170" fontId="13" fillId="0" borderId="6" xfId="0" applyNumberFormat="1" applyFont="1" applyFill="1" applyBorder="1" applyAlignment="1">
      <alignment horizontal="center" vertical="center"/>
    </xf>
    <xf numFmtId="170" fontId="13" fillId="0" borderId="15" xfId="0" applyNumberFormat="1" applyFont="1" applyFill="1" applyBorder="1" applyAlignment="1">
      <alignment vertical="center"/>
    </xf>
    <xf numFmtId="2" fontId="13" fillId="0" borderId="24" xfId="0" applyNumberFormat="1" applyFont="1" applyBorder="1" applyAlignment="1">
      <alignment horizontal="center" vertical="center"/>
    </xf>
    <xf numFmtId="0" fontId="13" fillId="0" borderId="48" xfId="0" applyFont="1" applyBorder="1" applyAlignment="1" quotePrefix="1">
      <alignment horizontal="center" vertical="center"/>
    </xf>
    <xf numFmtId="0" fontId="13" fillId="0" borderId="31" xfId="0" applyFont="1" applyBorder="1" applyAlignment="1">
      <alignment vertical="center"/>
    </xf>
    <xf numFmtId="2" fontId="12" fillId="0" borderId="11" xfId="0" applyNumberFormat="1" applyFont="1" applyFill="1" applyBorder="1" applyAlignment="1">
      <alignment horizontal="center" vertical="center" wrapText="1"/>
    </xf>
    <xf numFmtId="0" fontId="13" fillId="0" borderId="28" xfId="0" applyFont="1" applyBorder="1" applyAlignment="1">
      <alignment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2" fontId="13" fillId="0" borderId="49" xfId="0" applyNumberFormat="1" applyFont="1" applyBorder="1" applyAlignment="1">
      <alignment horizontal="center" vertical="center"/>
    </xf>
    <xf numFmtId="2" fontId="13" fillId="0" borderId="11" xfId="0" applyNumberFormat="1"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164" fontId="13" fillId="0" borderId="49" xfId="0" applyNumberFormat="1" applyFont="1" applyBorder="1" applyAlignment="1">
      <alignment horizontal="center" vertical="center"/>
    </xf>
    <xf numFmtId="2" fontId="13" fillId="0" borderId="8" xfId="0" applyNumberFormat="1" applyFont="1" applyBorder="1" applyAlignment="1">
      <alignment horizontal="center" vertical="center"/>
    </xf>
    <xf numFmtId="164" fontId="13" fillId="0" borderId="6" xfId="0" applyNumberFormat="1" applyFont="1" applyBorder="1" applyAlignment="1" quotePrefix="1">
      <alignment horizontal="center" vertical="center"/>
    </xf>
    <xf numFmtId="0" fontId="12" fillId="0" borderId="25" xfId="0" applyFont="1" applyBorder="1" applyAlignment="1">
      <alignment horizontal="left" vertical="center"/>
    </xf>
    <xf numFmtId="0" fontId="13" fillId="0" borderId="25" xfId="0" applyFont="1" applyBorder="1" applyAlignment="1">
      <alignment horizontal="left" vertical="center"/>
    </xf>
    <xf numFmtId="0" fontId="13" fillId="0" borderId="0" xfId="0" applyFont="1" applyAlignment="1">
      <alignment horizontal="left" vertical="center"/>
    </xf>
    <xf numFmtId="2" fontId="13" fillId="0" borderId="7" xfId="0" applyNumberFormat="1" applyFont="1" applyBorder="1" applyAlignment="1">
      <alignment horizontal="center" vertical="center"/>
    </xf>
    <xf numFmtId="0" fontId="12" fillId="0" borderId="25" xfId="0" applyFont="1" applyBorder="1" applyAlignment="1">
      <alignment vertical="center" wrapText="1"/>
    </xf>
    <xf numFmtId="167" fontId="13" fillId="0" borderId="2" xfId="0" applyNumberFormat="1" applyFont="1" applyBorder="1" applyAlignment="1">
      <alignment horizontal="center" vertical="center"/>
    </xf>
    <xf numFmtId="167" fontId="13" fillId="0" borderId="8" xfId="0" applyNumberFormat="1" applyFont="1" applyBorder="1" applyAlignment="1">
      <alignment horizontal="center" vertical="center"/>
    </xf>
    <xf numFmtId="2" fontId="13" fillId="0" borderId="4" xfId="0" applyNumberFormat="1" applyFont="1" applyBorder="1" applyAlignment="1">
      <alignment horizontal="center" vertical="center"/>
    </xf>
    <xf numFmtId="0" fontId="13" fillId="0" borderId="0" xfId="0" applyFont="1" applyBorder="1" applyAlignment="1">
      <alignment horizontal="center" vertical="center"/>
    </xf>
    <xf numFmtId="14" fontId="13" fillId="11" borderId="1" xfId="0" applyNumberFormat="1" applyFont="1" applyFill="1" applyBorder="1" applyAlignment="1" applyProtection="1">
      <alignment horizontal="left" vertical="center"/>
      <protection/>
    </xf>
    <xf numFmtId="0" fontId="13" fillId="5" borderId="11" xfId="0" applyFont="1" applyFill="1" applyBorder="1" applyAlignment="1">
      <alignment horizontal="left" vertical="center"/>
    </xf>
    <xf numFmtId="0" fontId="13" fillId="5" borderId="2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5" xfId="0" applyFont="1" applyBorder="1" applyAlignment="1">
      <alignment horizontal="left" vertical="center"/>
    </xf>
    <xf numFmtId="0" fontId="13" fillId="0" borderId="7" xfId="0" applyFont="1" applyBorder="1" applyAlignment="1">
      <alignment horizontal="left" vertical="center"/>
    </xf>
    <xf numFmtId="171" fontId="13" fillId="3" borderId="1" xfId="0" applyNumberFormat="1" applyFont="1" applyFill="1" applyBorder="1" applyAlignment="1" applyProtection="1">
      <alignment horizontal="left" vertical="center"/>
      <protection locked="0"/>
    </xf>
    <xf numFmtId="171" fontId="13" fillId="3" borderId="2" xfId="0" applyNumberFormat="1" applyFont="1" applyFill="1" applyBorder="1" applyAlignment="1" applyProtection="1">
      <alignment horizontal="left" vertical="center"/>
      <protection locked="0"/>
    </xf>
    <xf numFmtId="0" fontId="13" fillId="3" borderId="1" xfId="0" applyFont="1" applyFill="1" applyBorder="1" applyAlignment="1" applyProtection="1">
      <alignment horizontal="left" vertical="center"/>
      <protection locked="0"/>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1" fillId="11" borderId="1" xfId="0" applyFont="1" applyFill="1" applyBorder="1" applyAlignment="1">
      <alignment horizontal="left" vertical="center"/>
    </xf>
    <xf numFmtId="169" fontId="13" fillId="11" borderId="1" xfId="0" applyNumberFormat="1" applyFont="1" applyFill="1" applyBorder="1" applyAlignment="1">
      <alignment horizontal="left" vertical="center"/>
    </xf>
    <xf numFmtId="169" fontId="13" fillId="11" borderId="2" xfId="0" applyNumberFormat="1" applyFont="1" applyFill="1" applyBorder="1" applyAlignment="1">
      <alignment horizontal="left" vertical="center"/>
    </xf>
    <xf numFmtId="14" fontId="13" fillId="11" borderId="1" xfId="0" applyNumberFormat="1" applyFont="1" applyFill="1" applyBorder="1" applyAlignment="1">
      <alignment horizontal="left" vertical="center"/>
    </xf>
    <xf numFmtId="14" fontId="13" fillId="11" borderId="2" xfId="0" applyNumberFormat="1" applyFont="1" applyFill="1" applyBorder="1" applyAlignment="1">
      <alignment horizontal="left" vertical="center"/>
    </xf>
    <xf numFmtId="0" fontId="13" fillId="6" borderId="0" xfId="0" applyFont="1" applyFill="1" applyBorder="1" applyAlignment="1">
      <alignment horizontal="center"/>
    </xf>
    <xf numFmtId="0" fontId="16" fillId="0" borderId="48" xfId="0" applyFont="1" applyBorder="1" applyAlignment="1">
      <alignment horizontal="center" vertical="center"/>
    </xf>
    <xf numFmtId="0" fontId="16" fillId="0" borderId="30" xfId="0" applyFont="1" applyBorder="1" applyAlignment="1">
      <alignment horizontal="center" vertical="center"/>
    </xf>
    <xf numFmtId="0" fontId="16" fillId="0" borderId="28" xfId="0" applyFont="1" applyBorder="1" applyAlignment="1">
      <alignment horizontal="center" vertical="center"/>
    </xf>
    <xf numFmtId="0" fontId="12" fillId="0" borderId="20" xfId="0" applyFont="1" applyBorder="1" applyAlignment="1">
      <alignment horizontal="left" vertical="center"/>
    </xf>
    <xf numFmtId="171" fontId="13" fillId="11" borderId="2" xfId="0" applyNumberFormat="1" applyFont="1" applyFill="1" applyBorder="1" applyAlignment="1">
      <alignment horizontal="center" vertical="center"/>
    </xf>
    <xf numFmtId="171" fontId="13" fillId="11" borderId="5" xfId="0" applyNumberFormat="1" applyFont="1" applyFill="1" applyBorder="1" applyAlignment="1">
      <alignment horizontal="center" vertical="center"/>
    </xf>
    <xf numFmtId="0" fontId="13" fillId="11" borderId="2" xfId="0" applyFont="1" applyFill="1" applyBorder="1" applyAlignment="1">
      <alignment horizontal="center" vertical="center"/>
    </xf>
    <xf numFmtId="0" fontId="13" fillId="11" borderId="5"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27" xfId="0" applyFont="1" applyFill="1" applyBorder="1" applyAlignment="1">
      <alignment horizontal="center" vertical="center"/>
    </xf>
    <xf numFmtId="0" fontId="13" fillId="0" borderId="27" xfId="0" applyFont="1" applyBorder="1" applyAlignment="1">
      <alignment horizontal="left" vertical="center"/>
    </xf>
    <xf numFmtId="0" fontId="13" fillId="0" borderId="44" xfId="0" applyFont="1" applyBorder="1" applyAlignment="1">
      <alignment horizontal="left" vertical="center"/>
    </xf>
    <xf numFmtId="0" fontId="13" fillId="0" borderId="23"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4" xfId="0" applyFont="1" applyBorder="1" applyAlignment="1">
      <alignment horizontal="center" vertical="center"/>
    </xf>
    <xf numFmtId="0" fontId="13" fillId="0" borderId="2" xfId="0" applyFont="1" applyBorder="1" applyAlignment="1">
      <alignment horizontal="left" vertical="center"/>
    </xf>
    <xf numFmtId="165" fontId="27" fillId="0" borderId="45" xfId="0" applyNumberFormat="1" applyFont="1" applyFill="1" applyBorder="1" applyAlignment="1">
      <alignment horizontal="left"/>
    </xf>
    <xf numFmtId="0" fontId="13" fillId="0" borderId="9" xfId="0" applyFont="1" applyBorder="1" applyAlignment="1">
      <alignment horizontal="left" vertical="center"/>
    </xf>
    <xf numFmtId="9" fontId="13" fillId="0" borderId="6" xfId="0" applyNumberFormat="1" applyFont="1" applyBorder="1" applyAlignment="1">
      <alignment horizontal="left" vertical="center"/>
    </xf>
    <xf numFmtId="9" fontId="13" fillId="0" borderId="15" xfId="0" applyNumberFormat="1" applyFont="1" applyBorder="1" applyAlignment="1">
      <alignment horizontal="left" vertical="center"/>
    </xf>
    <xf numFmtId="0" fontId="12" fillId="0" borderId="20" xfId="0" applyFont="1" applyFill="1" applyBorder="1" applyAlignment="1">
      <alignment horizontal="left"/>
    </xf>
    <xf numFmtId="0" fontId="13" fillId="0" borderId="27"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Fill="1" applyBorder="1" applyAlignment="1">
      <alignment horizontal="left" vertical="top" wrapText="1"/>
    </xf>
    <xf numFmtId="0" fontId="12" fillId="0" borderId="20" xfId="0" applyFont="1" applyBorder="1" applyAlignment="1">
      <alignment horizontal="center" vertical="center"/>
    </xf>
    <xf numFmtId="0" fontId="16" fillId="0" borderId="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dxfs count="4">
    <dxf>
      <font>
        <b/>
        <i val="0"/>
        <color auto="1"/>
      </font>
      <fill>
        <patternFill>
          <bgColor rgb="FFFF0000"/>
        </patternFill>
      </fill>
      <border/>
    </dxf>
    <dxf>
      <font>
        <b/>
        <i val="0"/>
        <color rgb="FFC00000"/>
      </font>
      <border/>
    </dxf>
    <dxf>
      <font>
        <b/>
        <i val="0"/>
        <color rgb="FFC00000"/>
      </font>
      <border/>
    </dxf>
    <dxf>
      <font>
        <b/>
        <i val="0"/>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Summary of Anticipated Safety Performance of the Project (average crashes/yr) </a:t>
            </a:r>
          </a:p>
        </c:rich>
      </c:tx>
      <c:layout>
        <c:manualLayout>
          <c:xMode val="edge"/>
          <c:yMode val="edge"/>
          <c:x val="0.0505"/>
          <c:y val="0.02775"/>
        </c:manualLayout>
      </c:layout>
      <c:spPr>
        <a:noFill/>
        <a:ln>
          <a:noFill/>
        </a:ln>
      </c:spPr>
    </c:title>
    <c:plotArea>
      <c:layout/>
      <c:barChart>
        <c:barDir val="col"/>
        <c:grouping val="clustered"/>
        <c:varyColors val="0"/>
        <c:ser>
          <c:idx val="2"/>
          <c:order val="0"/>
          <c:tx>
            <c:strRef>
              <c:f>Report!$E$25</c:f>
              <c:strCache>
                <c:ptCount val="1"/>
                <c:pt idx="0">
                  <c:v>Predicted average crash frequency - Average safety performance of projects consisting of similar elements (anticipated average crashes/yr)</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Report!$A$26:$A$28</c:f>
              <c:strCache/>
            </c:strRef>
          </c:cat>
          <c:val>
            <c:numRef>
              <c:f>Report!$E$26:$E$28</c:f>
              <c:numCache/>
            </c:numRef>
          </c:val>
        </c:ser>
        <c:ser>
          <c:idx val="3"/>
          <c:order val="1"/>
          <c:tx>
            <c:strRef>
              <c:f>Report!$F$25</c:f>
            </c:strRef>
          </c:tx>
          <c:invertIfNegative val="0"/>
          <c:extLst>
            <c:ext xmlns:c14="http://schemas.microsoft.com/office/drawing/2007/8/2/chart" uri="{6F2FDCE9-48DA-4B69-8628-5D25D57E5C99}">
              <c14:invertSolidFillFmt>
                <c14:spPr>
                  <a:solidFill>
                    <a:srgbClr val="000000"/>
                  </a:solidFill>
                </c14:spPr>
              </c14:invertSolidFillFmt>
            </c:ext>
          </c:extLst>
          <c:cat>
            <c:strRef>
              <c:f>Report!$A$26:$A$28</c:f>
              <c:strCache/>
            </c:strRef>
          </c:cat>
          <c:val>
            <c:numRef>
              <c:f>Report!$F$26:$F$28</c:f>
              <c:numCache/>
            </c:numRef>
          </c:val>
        </c:ser>
        <c:ser>
          <c:idx val="4"/>
          <c:order val="2"/>
          <c:tx>
            <c:strRef>
              <c:f>Report!$G$25</c:f>
              <c:strCache>
                <c:ptCount val="1"/>
                <c:pt idx="0">
                  <c:v>Expected average crash frequency - Actual long-term safety performance of the project (anticipated average crashes/yr)</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Report!$A$26:$A$28</c:f>
              <c:strCache/>
            </c:strRef>
          </c:cat>
          <c:val>
            <c:numRef>
              <c:f>Report!$G$26:$G$28</c:f>
              <c:numCache/>
            </c:numRef>
          </c:val>
        </c:ser>
        <c:ser>
          <c:idx val="0"/>
          <c:order val="3"/>
          <c:tx>
            <c:strRef>
              <c:f>Report!$H$25</c:f>
            </c:strRef>
          </c:tx>
          <c:invertIfNegative val="0"/>
          <c:extLst>
            <c:ext xmlns:c14="http://schemas.microsoft.com/office/drawing/2007/8/2/chart" uri="{6F2FDCE9-48DA-4B69-8628-5D25D57E5C99}">
              <c14:invertSolidFillFmt>
                <c14:spPr>
                  <a:solidFill>
                    <a:srgbClr val="000000"/>
                  </a:solidFill>
                </c14:spPr>
              </c14:invertSolidFillFmt>
            </c:ext>
          </c:extLst>
          <c:cat>
            <c:strRef>
              <c:f>Report!$A$26:$A$28</c:f>
              <c:strCache/>
            </c:strRef>
          </c:cat>
          <c:val>
            <c:numRef>
              <c:f>Report!$H$26:$H$28</c:f>
              <c:numCache/>
            </c:numRef>
          </c:val>
        </c:ser>
        <c:ser>
          <c:idx val="1"/>
          <c:order val="4"/>
          <c:tx>
            <c:strRef>
              <c:f>Report!$I$25</c:f>
              <c:strCache>
                <c:ptCount val="1"/>
                <c:pt idx="0">
                  <c:v>Potential for Safety Improvement (anticipated average crashes/yr)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Report!$A$26:$A$28</c:f>
              <c:strCache/>
            </c:strRef>
          </c:cat>
          <c:val>
            <c:numRef>
              <c:f>Report!$I$26:$I$28</c:f>
              <c:numCache/>
            </c:numRef>
          </c:val>
        </c:ser>
        <c:ser>
          <c:idx val="5"/>
          <c:order val="5"/>
          <c:tx>
            <c:strRef>
              <c:f>Report!$J$25</c:f>
            </c:strRef>
          </c:tx>
          <c:invertIfNegative val="0"/>
          <c:extLst>
            <c:ext xmlns:c14="http://schemas.microsoft.com/office/drawing/2007/8/2/chart" uri="{6F2FDCE9-48DA-4B69-8628-5D25D57E5C99}">
              <c14:invertSolidFillFmt>
                <c14:spPr>
                  <a:solidFill>
                    <a:srgbClr val="000000"/>
                  </a:solidFill>
                </c14:spPr>
              </c14:invertSolidFillFmt>
            </c:ext>
          </c:extLst>
          <c:cat>
            <c:strRef>
              <c:f>Report!$A$26:$A$28</c:f>
              <c:strCache/>
            </c:strRef>
          </c:cat>
          <c:val>
            <c:numRef>
              <c:f>Report!$J$26:$J$28</c:f>
              <c:numCache/>
            </c:numRef>
          </c:val>
        </c:ser>
        <c:overlap val="45"/>
        <c:gapWidth val="25"/>
        <c:axId val="19770740"/>
        <c:axId val="43718933"/>
      </c:barChart>
      <c:catAx>
        <c:axId val="19770740"/>
        <c:scaling>
          <c:orientation val="minMax"/>
        </c:scaling>
        <c:axPos val="b"/>
        <c:delete val="0"/>
        <c:numFmt formatCode="General" sourceLinked="1"/>
        <c:majorTickMark val="out"/>
        <c:minorTickMark val="none"/>
        <c:tickLblPos val="nextTo"/>
        <c:crossAx val="43718933"/>
        <c:crosses val="autoZero"/>
        <c:auto val="1"/>
        <c:lblOffset val="100"/>
        <c:noMultiLvlLbl val="0"/>
      </c:catAx>
      <c:valAx>
        <c:axId val="43718933"/>
        <c:scaling>
          <c:orientation val="minMax"/>
        </c:scaling>
        <c:axPos val="l"/>
        <c:majorGridlines>
          <c:spPr>
            <a:ln>
              <a:solidFill>
                <a:schemeClr val="bg1">
                  <a:lumMod val="75000"/>
                </a:schemeClr>
              </a:solidFill>
            </a:ln>
          </c:spPr>
        </c:majorGridlines>
        <c:delete val="0"/>
        <c:numFmt formatCode="0.0" sourceLinked="1"/>
        <c:majorTickMark val="out"/>
        <c:minorTickMark val="none"/>
        <c:tickLblPos val="nextTo"/>
        <c:crossAx val="19770740"/>
        <c:crosses val="autoZero"/>
        <c:crossBetween val="between"/>
        <c:dispUnits/>
      </c:valAx>
    </c:plotArea>
    <c:legend>
      <c:legendPos val="r"/>
      <c:legendEntry>
        <c:idx val="1"/>
        <c:delete val="1"/>
      </c:legendEntry>
      <c:legendEntry>
        <c:idx val="3"/>
        <c:delete val="1"/>
      </c:legendEntry>
      <c:legendEntry>
        <c:idx val="5"/>
        <c:delete val="1"/>
      </c:legendEntry>
      <c:layout>
        <c:manualLayout>
          <c:xMode val="edge"/>
          <c:yMode val="edge"/>
          <c:x val="0.65275"/>
          <c:y val="0.30225"/>
          <c:w val="0.34325"/>
          <c:h val="0.56475"/>
        </c:manualLayout>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1077" l="0.70000000000000062" r="0.70000000000000062" t="0.75000000000001077"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0"/>
    <c:title>
      <c:tx>
        <c:rich>
          <a:bodyPr vert="horz" rot="0" anchor="ctr"/>
          <a:lstStyle/>
          <a:p>
            <a:pPr algn="ctr">
              <a:defRPr/>
            </a:pPr>
            <a:r>
              <a:rPr lang="en-US" cap="none" u="none" baseline="0">
                <a:latin typeface="Arial"/>
                <a:ea typeface="Arial"/>
                <a:cs typeface="Arial"/>
              </a:rPr>
              <a:t>Summary of Anticipated Safety Performance of the Project (total over analysis period) </a:t>
            </a:r>
          </a:p>
        </c:rich>
      </c:tx>
      <c:layout>
        <c:manualLayout>
          <c:xMode val="edge"/>
          <c:yMode val="edge"/>
          <c:x val="0.0505"/>
          <c:y val="0.02775"/>
        </c:manualLayout>
      </c:layout>
      <c:spPr>
        <a:noFill/>
        <a:ln>
          <a:noFill/>
        </a:ln>
      </c:spPr>
    </c:title>
    <c:plotArea>
      <c:layout/>
      <c:barChart>
        <c:barDir val="col"/>
        <c:grouping val="clustered"/>
        <c:varyColors val="0"/>
        <c:ser>
          <c:idx val="1"/>
          <c:order val="0"/>
          <c:tx>
            <c:v>Predicted average crash frequency - Average safety performance of projects consisting of similar elements (anticipated total number of crashes over 10 years)</c:v>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3"/>
              <c:pt idx="0">
                <c:v>Fatal and injury crashes (KABC)</c:v>
              </c:pt>
              <c:pt idx="1">
                <c:v>Property damage only crashes (PDO)</c:v>
              </c:pt>
              <c:pt idx="2">
                <c:v>Total crashes (KABCO)</c:v>
              </c:pt>
            </c:strLit>
          </c:cat>
          <c:val>
            <c:numRef>
              <c:f>'Multi-Year Analysis Report'!$E$26:$E$28</c:f>
              <c:numCache/>
            </c:numRef>
          </c:val>
        </c:ser>
        <c:ser>
          <c:idx val="5"/>
          <c:order val="1"/>
          <c:tx>
            <c:v>Expected average crash frequency - Average long-term safety performance of the project (anticipated total number of crashes over 10 years)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3"/>
              <c:pt idx="0">
                <c:v>Fatal and injury crashes (KABC)</c:v>
              </c:pt>
              <c:pt idx="1">
                <c:v>Property damage only crashes (PDO)</c:v>
              </c:pt>
              <c:pt idx="2">
                <c:v>Total crashes (KABCO)</c:v>
              </c:pt>
            </c:strLit>
          </c:cat>
          <c:val>
            <c:numRef>
              <c:f>'Multi-Year Analysis Report'!$G$26:$G$28</c:f>
              <c:numCache/>
            </c:numRef>
          </c:val>
        </c:ser>
        <c:ser>
          <c:idx val="7"/>
          <c:order val="2"/>
          <c:tx>
            <c:v>Potential safety performance - Average project performance compared to threshold set by typical other similar projects (anticipated total number of crashes over 10 years)</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3"/>
              <c:pt idx="0">
                <c:v>Fatal and injury crashes (KABC)</c:v>
              </c:pt>
              <c:pt idx="1">
                <c:v>Property damage only crashes (PDO)</c:v>
              </c:pt>
              <c:pt idx="2">
                <c:v>Total crashes (KABCO)</c:v>
              </c:pt>
            </c:strLit>
          </c:cat>
          <c:val>
            <c:numRef>
              <c:f>'Multi-Year Analysis Report'!$I$26:$I$28</c:f>
              <c:numCache/>
            </c:numRef>
          </c:val>
        </c:ser>
        <c:overlap val="-8"/>
        <c:gapWidth val="25"/>
        <c:axId val="57926078"/>
        <c:axId val="51572655"/>
      </c:barChart>
      <c:catAx>
        <c:axId val="57926078"/>
        <c:scaling>
          <c:orientation val="minMax"/>
        </c:scaling>
        <c:axPos val="b"/>
        <c:delete val="0"/>
        <c:numFmt formatCode="General" sourceLinked="1"/>
        <c:majorTickMark val="out"/>
        <c:minorTickMark val="none"/>
        <c:tickLblPos val="nextTo"/>
        <c:crossAx val="51572655"/>
        <c:crosses val="autoZero"/>
        <c:auto val="1"/>
        <c:lblOffset val="100"/>
        <c:noMultiLvlLbl val="0"/>
      </c:catAx>
      <c:valAx>
        <c:axId val="51572655"/>
        <c:scaling>
          <c:orientation val="minMax"/>
        </c:scaling>
        <c:axPos val="l"/>
        <c:majorGridlines>
          <c:spPr>
            <a:ln>
              <a:solidFill>
                <a:schemeClr val="bg1">
                  <a:lumMod val="85000"/>
                </a:schemeClr>
              </a:solidFill>
            </a:ln>
          </c:spPr>
        </c:majorGridlines>
        <c:delete val="0"/>
        <c:numFmt formatCode="0.0" sourceLinked="1"/>
        <c:majorTickMark val="out"/>
        <c:minorTickMark val="none"/>
        <c:tickLblPos val="nextTo"/>
        <c:crossAx val="5792607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1066" l="0.70000000000000062" r="0.70000000000000062" t="0.75000000000001066" header="0.30000000000000032" footer="0.30000000000000032"/>
    <c:pageSetup/>
  </c:printSettings>
  <c:date1904 val="1"/>
</chartSpace>
</file>

<file path=xl/ctrlProps/ctrlProp1.xml><?xml version="1.0" encoding="utf-8"?>
<formControlPr xmlns="http://schemas.microsoft.com/office/spreadsheetml/2009/9/main" objectType="Drop" dropLines="3" dropStyle="combo" dx="16" fmlaLink="$AE$24" fmlaRange="$AE$26:$AE$28" noThreeD="1" val="0"/>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1095375</xdr:colOff>
      <xdr:row>12</xdr:row>
      <xdr:rowOff>47625</xdr:rowOff>
    </xdr:from>
    <xdr:to>
      <xdr:col>3</xdr:col>
      <xdr:colOff>857250</xdr:colOff>
      <xdr:row>12</xdr:row>
      <xdr:rowOff>466725</xdr:rowOff>
    </xdr:to>
    <xdr:sp macro="[0]!InsertRows" textlink="">
      <xdr:nvSpPr>
        <xdr:cNvPr id="3" name="TextBox 2"/>
        <xdr:cNvSpPr txBox="1"/>
      </xdr:nvSpPr>
      <xdr:spPr>
        <a:xfrm>
          <a:off x="3952875" y="1847850"/>
          <a:ext cx="1695450" cy="419100"/>
        </a:xfrm>
        <a:prstGeom prst="rect">
          <a:avLst/>
        </a:prstGeom>
        <a:solidFill>
          <a:srgbClr val="FA9500"/>
        </a:solidFill>
        <a:ln w="9525" cmpd="sng">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050" b="1"/>
            <a:t>Update Element Table</a:t>
          </a:r>
        </a:p>
      </xdr:txBody>
    </xdr:sp>
    <xdr:clientData fPrintsWithSheet="0"/>
  </xdr:twoCellAnchor>
  <xdr:oneCellAnchor>
    <xdr:from>
      <xdr:col>2</xdr:col>
      <xdr:colOff>952500</xdr:colOff>
      <xdr:row>25</xdr:row>
      <xdr:rowOff>114300</xdr:rowOff>
    </xdr:from>
    <xdr:ext cx="1971675" cy="981075"/>
    <xdr:sp macro="[0]!GoToFirstElement" textlink="">
      <xdr:nvSpPr>
        <xdr:cNvPr id="4" name="TextBox 3"/>
        <xdr:cNvSpPr txBox="1">
          <a:spLocks noChangeAspect="1"/>
        </xdr:cNvSpPr>
      </xdr:nvSpPr>
      <xdr:spPr>
        <a:xfrm>
          <a:off x="3810000" y="5448300"/>
          <a:ext cx="1971675" cy="981075"/>
        </a:xfrm>
        <a:prstGeom prst="rightArrow">
          <a:avLst>
            <a:gd name="adj1" fmla="val 57792"/>
            <a:gd name="adj2" fmla="val 68072"/>
          </a:avLst>
        </a:prstGeom>
        <a:solidFill>
          <a:srgbClr val="E46C0A"/>
        </a:solidFill>
        <a:ln w="9525" cmpd="sng">
          <a:solidFill>
            <a:schemeClr val="lt1">
              <a:shade val="50000"/>
            </a:schemeClr>
          </a:solidFill>
          <a:headEnd type="none"/>
          <a:tailEnd type="none"/>
        </a:ln>
        <a:scene3d>
          <a:camera prst="orthographicFront"/>
          <a:lightRig rig="threePt" dir="t"/>
        </a:scene3d>
        <a:sp3d>
          <a:bevelT w="165100" prst="coolSlan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100" b="1"/>
            <a:t>Proceed to 1st Element</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219075</xdr:rowOff>
    </xdr:from>
    <xdr:to>
      <xdr:col>9</xdr:col>
      <xdr:colOff>819150</xdr:colOff>
      <xdr:row>10</xdr:row>
      <xdr:rowOff>2867025</xdr:rowOff>
    </xdr:to>
    <xdr:graphicFrame macro="">
      <xdr:nvGraphicFramePr>
        <xdr:cNvPr id="1291" name="Chart 3"/>
        <xdr:cNvGraphicFramePr/>
      </xdr:nvGraphicFramePr>
      <xdr:xfrm>
        <a:off x="57150" y="2047875"/>
        <a:ext cx="9544050" cy="26384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38100</xdr:colOff>
      <xdr:row>1</xdr:row>
      <xdr:rowOff>9525</xdr:rowOff>
    </xdr:from>
    <xdr:to>
      <xdr:col>12</xdr:col>
      <xdr:colOff>571500</xdr:colOff>
      <xdr:row>4</xdr:row>
      <xdr:rowOff>0</xdr:rowOff>
    </xdr:to>
    <xdr:sp macro="[0]!PrintReport" textlink="">
      <xdr:nvSpPr>
        <xdr:cNvPr id="3" name="TextBox 2"/>
        <xdr:cNvSpPr txBox="1"/>
      </xdr:nvSpPr>
      <xdr:spPr>
        <a:xfrm>
          <a:off x="9705975" y="352425"/>
          <a:ext cx="1800225" cy="495300"/>
        </a:xfrm>
        <a:prstGeom prst="rect">
          <a:avLst/>
        </a:prstGeom>
        <a:solidFill>
          <a:srgbClr val="E46C0A"/>
        </a:solidFill>
        <a:ln w="9525" cmpd="sng">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indent="0" algn="ctr"/>
          <a:r>
            <a:rPr lang="en-US" sz="1600" b="1">
              <a:solidFill>
                <a:schemeClr val="dk1"/>
              </a:solidFill>
              <a:latin typeface="+mn-lt"/>
              <a:ea typeface="+mn-ea"/>
              <a:cs typeface="+mn-cs"/>
            </a:rPr>
            <a:t>Print Report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29</xdr:row>
      <xdr:rowOff>19050</xdr:rowOff>
    </xdr:from>
    <xdr:to>
      <xdr:col>13</xdr:col>
      <xdr:colOff>504825</xdr:colOff>
      <xdr:row>32</xdr:row>
      <xdr:rowOff>200025</xdr:rowOff>
    </xdr:to>
    <xdr:sp macro="[0]!GoToNextElement" textlink="">
      <xdr:nvSpPr>
        <xdr:cNvPr id="3" name="TextBox 2"/>
        <xdr:cNvSpPr txBox="1"/>
      </xdr:nvSpPr>
      <xdr:spPr>
        <a:xfrm>
          <a:off x="10677525" y="6010275"/>
          <a:ext cx="1971675" cy="809625"/>
        </a:xfrm>
        <a:prstGeom prst="rightArrow">
          <a:avLst>
            <a:gd name="adj1" fmla="val 57792"/>
            <a:gd name="adj2" fmla="val 68072"/>
          </a:avLst>
        </a:prstGeom>
        <a:solidFill>
          <a:srgbClr val="E46C0A"/>
        </a:solidFill>
        <a:ln w="9525" cmpd="sng">
          <a:solidFill>
            <a:schemeClr val="lt1">
              <a:shade val="50000"/>
            </a:schemeClr>
          </a:solidFill>
          <a:headEnd type="none"/>
          <a:tailEnd type="none"/>
        </a:ln>
        <a:scene3d>
          <a:camera prst="orthographicFront"/>
          <a:lightRig rig="threePt" dir="t"/>
        </a:scene3d>
        <a:sp3d>
          <a:bevelT w="165100" prst="coolSlan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400" b="1"/>
            <a:t>Next Element</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33</xdr:row>
      <xdr:rowOff>9525</xdr:rowOff>
    </xdr:from>
    <xdr:to>
      <xdr:col>13</xdr:col>
      <xdr:colOff>523875</xdr:colOff>
      <xdr:row>36</xdr:row>
      <xdr:rowOff>190500</xdr:rowOff>
    </xdr:to>
    <xdr:sp macro="[0]!GoToNextElement" textlink="">
      <xdr:nvSpPr>
        <xdr:cNvPr id="2" name="TextBox 1"/>
        <xdr:cNvSpPr txBox="1"/>
      </xdr:nvSpPr>
      <xdr:spPr>
        <a:xfrm>
          <a:off x="9744075" y="6858000"/>
          <a:ext cx="1952625" cy="809625"/>
        </a:xfrm>
        <a:prstGeom prst="rightArrow">
          <a:avLst>
            <a:gd name="adj1" fmla="val 57792"/>
            <a:gd name="adj2" fmla="val 68072"/>
          </a:avLst>
        </a:prstGeom>
        <a:solidFill>
          <a:srgbClr val="E46C0A"/>
        </a:solidFill>
        <a:ln w="9525" cmpd="sng">
          <a:solidFill>
            <a:schemeClr val="lt1">
              <a:shade val="50000"/>
            </a:schemeClr>
          </a:solidFill>
          <a:headEnd type="none"/>
          <a:tailEnd type="none"/>
        </a:ln>
        <a:scene3d>
          <a:camera prst="orthographicFront"/>
          <a:lightRig rig="threePt" dir="t"/>
        </a:scene3d>
        <a:sp3d>
          <a:bevelT w="165100" prst="coolSlan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400" b="1"/>
            <a:t>Next Element</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19</xdr:row>
      <xdr:rowOff>161925</xdr:rowOff>
    </xdr:from>
    <xdr:to>
      <xdr:col>6</xdr:col>
      <xdr:colOff>333375</xdr:colOff>
      <xdr:row>22</xdr:row>
      <xdr:rowOff>142875</xdr:rowOff>
    </xdr:to>
    <xdr:sp macro="[0]!MultiYearSummaryTable" textlink="">
      <xdr:nvSpPr>
        <xdr:cNvPr id="2" name="TextBox 1"/>
        <xdr:cNvSpPr txBox="1"/>
      </xdr:nvSpPr>
      <xdr:spPr>
        <a:xfrm>
          <a:off x="3448050" y="3790950"/>
          <a:ext cx="2286000" cy="552450"/>
        </a:xfrm>
        <a:prstGeom prst="plaque">
          <a:avLst/>
        </a:prstGeom>
        <a:solidFill>
          <a:srgbClr val="E46C0A"/>
        </a:solidFill>
        <a:ln w="9525" cmpd="sng">
          <a:solidFill>
            <a:schemeClr val="lt1">
              <a:shade val="50000"/>
            </a:schemeClr>
          </a:solidFill>
          <a:headEnd type="none"/>
          <a:tailEnd type="none"/>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200" b="1"/>
            <a:t>Run Multi-Year Analysis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14</xdr:row>
      <xdr:rowOff>266700</xdr:rowOff>
    </xdr:from>
    <xdr:to>
      <xdr:col>9</xdr:col>
      <xdr:colOff>952500</xdr:colOff>
      <xdr:row>14</xdr:row>
      <xdr:rowOff>2905125</xdr:rowOff>
    </xdr:to>
    <xdr:graphicFrame macro="">
      <xdr:nvGraphicFramePr>
        <xdr:cNvPr id="2" name="Chart 3"/>
        <xdr:cNvGraphicFramePr/>
      </xdr:nvGraphicFramePr>
      <xdr:xfrm>
        <a:off x="190500" y="2762250"/>
        <a:ext cx="13239750" cy="2647950"/>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57150</xdr:colOff>
      <xdr:row>1</xdr:row>
      <xdr:rowOff>9525</xdr:rowOff>
    </xdr:from>
    <xdr:to>
      <xdr:col>11</xdr:col>
      <xdr:colOff>866775</xdr:colOff>
      <xdr:row>4</xdr:row>
      <xdr:rowOff>0</xdr:rowOff>
    </xdr:to>
    <xdr:sp macro="[0]!PrintReport" textlink="">
      <xdr:nvSpPr>
        <xdr:cNvPr id="3" name="TextBox 2"/>
        <xdr:cNvSpPr txBox="1"/>
      </xdr:nvSpPr>
      <xdr:spPr>
        <a:xfrm>
          <a:off x="13649325" y="352425"/>
          <a:ext cx="1790700" cy="495300"/>
        </a:xfrm>
        <a:prstGeom prst="rect">
          <a:avLst/>
        </a:prstGeom>
        <a:solidFill>
          <a:srgbClr val="E46C0A"/>
        </a:solidFill>
        <a:ln w="9525" cmpd="sng">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indent="0" algn="ctr"/>
          <a:r>
            <a:rPr lang="en-US" sz="1600" b="1">
              <a:solidFill>
                <a:schemeClr val="dk1"/>
              </a:solidFill>
              <a:latin typeface="+mn-lt"/>
              <a:ea typeface="+mn-ea"/>
              <a:cs typeface="+mn-cs"/>
            </a:rPr>
            <a:t>Print Report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Sheet1"/>
  <dimension ref="C1:O86"/>
  <sheetViews>
    <sheetView tabSelected="1" workbookViewId="0" topLeftCell="A1"/>
  </sheetViews>
  <sheetFormatPr defaultColWidth="9.140625" defaultRowHeight="12.75"/>
  <cols>
    <col min="1" max="16384" width="9.140625" style="13" customWidth="1"/>
  </cols>
  <sheetData>
    <row r="1" spans="3:12" ht="12.75">
      <c r="C1" s="265"/>
      <c r="L1" s="265"/>
    </row>
    <row r="2" spans="3:15" ht="15.75">
      <c r="C2" s="486" t="s">
        <v>643</v>
      </c>
      <c r="D2" s="486"/>
      <c r="E2" s="486"/>
      <c r="F2" s="486"/>
      <c r="G2" s="486"/>
      <c r="H2" s="486"/>
      <c r="I2" s="486"/>
      <c r="J2" s="486"/>
      <c r="K2" s="486"/>
      <c r="L2" s="486"/>
      <c r="M2" s="486"/>
      <c r="N2" s="486"/>
      <c r="O2" s="486"/>
    </row>
    <row r="3" spans="3:12" ht="15">
      <c r="C3" s="266"/>
      <c r="L3" s="267"/>
    </row>
    <row r="4" spans="3:12" ht="15">
      <c r="C4" s="306" t="s">
        <v>711</v>
      </c>
      <c r="L4" s="267"/>
    </row>
    <row r="5" spans="3:15" ht="39" customHeight="1">
      <c r="C5" s="485" t="s">
        <v>710</v>
      </c>
      <c r="D5" s="485"/>
      <c r="E5" s="485"/>
      <c r="F5" s="485"/>
      <c r="G5" s="485"/>
      <c r="H5" s="485"/>
      <c r="I5" s="485"/>
      <c r="J5" s="485"/>
      <c r="K5" s="485"/>
      <c r="L5" s="485"/>
      <c r="M5" s="485"/>
      <c r="N5" s="485"/>
      <c r="O5" s="485"/>
    </row>
    <row r="6" spans="3:12" ht="15">
      <c r="C6" s="266"/>
      <c r="L6" s="267"/>
    </row>
    <row r="7" spans="3:15" ht="15">
      <c r="C7" s="306" t="s">
        <v>644</v>
      </c>
      <c r="E7" s="48"/>
      <c r="F7" s="48"/>
      <c r="G7" s="48"/>
      <c r="H7" s="48"/>
      <c r="I7" s="48"/>
      <c r="J7" s="48"/>
      <c r="K7" s="48"/>
      <c r="L7" s="66"/>
      <c r="M7" s="48"/>
      <c r="N7" s="48"/>
      <c r="O7" s="48"/>
    </row>
    <row r="8" spans="3:15" ht="15">
      <c r="C8" s="268"/>
      <c r="E8" s="48"/>
      <c r="F8" s="48"/>
      <c r="G8" s="48"/>
      <c r="H8" s="48"/>
      <c r="I8" s="48"/>
      <c r="J8" s="48"/>
      <c r="K8" s="48"/>
      <c r="L8" s="66"/>
      <c r="M8" s="48"/>
      <c r="N8" s="48"/>
      <c r="O8" s="48"/>
    </row>
    <row r="9" spans="3:15" ht="15">
      <c r="C9" s="269"/>
      <c r="D9" s="266" t="s">
        <v>656</v>
      </c>
      <c r="E9" s="48"/>
      <c r="F9" s="48"/>
      <c r="G9" s="48"/>
      <c r="H9" s="48"/>
      <c r="I9" s="48"/>
      <c r="J9" s="48"/>
      <c r="K9" s="48"/>
      <c r="L9" s="66"/>
      <c r="M9" s="48"/>
      <c r="N9" s="48"/>
      <c r="O9" s="48"/>
    </row>
    <row r="10" spans="3:15" ht="15">
      <c r="C10" s="266"/>
      <c r="E10" s="48"/>
      <c r="F10" s="48"/>
      <c r="G10" s="48"/>
      <c r="H10" s="48"/>
      <c r="I10" s="48"/>
      <c r="J10" s="48"/>
      <c r="K10" s="48"/>
      <c r="L10" s="66"/>
      <c r="M10" s="48"/>
      <c r="N10" s="48"/>
      <c r="O10" s="48"/>
    </row>
    <row r="11" spans="3:15" ht="15">
      <c r="C11" s="270"/>
      <c r="D11" s="266" t="s">
        <v>657</v>
      </c>
      <c r="E11" s="48"/>
      <c r="F11" s="48"/>
      <c r="G11" s="48"/>
      <c r="H11" s="48"/>
      <c r="I11" s="48"/>
      <c r="J11" s="48"/>
      <c r="K11" s="48"/>
      <c r="L11" s="48"/>
      <c r="M11" s="48"/>
      <c r="N11" s="48"/>
      <c r="O11" s="48"/>
    </row>
    <row r="12" spans="3:15" ht="15">
      <c r="C12" s="266"/>
      <c r="E12" s="48"/>
      <c r="F12" s="48"/>
      <c r="G12" s="48"/>
      <c r="H12" s="48"/>
      <c r="I12" s="48"/>
      <c r="J12" s="48"/>
      <c r="K12" s="48"/>
      <c r="L12" s="48"/>
      <c r="M12" s="48"/>
      <c r="N12" s="48"/>
      <c r="O12" s="48"/>
    </row>
    <row r="13" spans="3:15" ht="15">
      <c r="C13" s="271"/>
      <c r="D13" s="266" t="s">
        <v>658</v>
      </c>
      <c r="E13" s="48"/>
      <c r="F13" s="48"/>
      <c r="G13" s="48"/>
      <c r="H13" s="48"/>
      <c r="I13" s="48"/>
      <c r="J13" s="48"/>
      <c r="K13" s="48"/>
      <c r="L13" s="272"/>
      <c r="M13" s="48"/>
      <c r="N13" s="272"/>
      <c r="O13" s="48"/>
    </row>
    <row r="14" spans="3:15" ht="15">
      <c r="C14" s="266"/>
      <c r="E14" s="48"/>
      <c r="F14" s="48"/>
      <c r="G14" s="48"/>
      <c r="H14" s="48"/>
      <c r="I14" s="48"/>
      <c r="J14" s="48"/>
      <c r="K14" s="48"/>
      <c r="L14" s="48"/>
      <c r="M14" s="48"/>
      <c r="N14" s="48"/>
      <c r="O14" s="48"/>
    </row>
    <row r="15" spans="3:15" ht="15">
      <c r="C15" s="307"/>
      <c r="D15" s="266" t="s">
        <v>693</v>
      </c>
      <c r="E15" s="48"/>
      <c r="F15" s="48"/>
      <c r="G15" s="48"/>
      <c r="H15" s="48"/>
      <c r="I15" s="48"/>
      <c r="J15" s="48"/>
      <c r="K15" s="48"/>
      <c r="L15" s="48"/>
      <c r="M15" s="48"/>
      <c r="N15" s="48"/>
      <c r="O15" s="48"/>
    </row>
    <row r="16" spans="3:15" ht="15">
      <c r="C16" s="266"/>
      <c r="E16" s="48"/>
      <c r="F16" s="48"/>
      <c r="G16" s="48"/>
      <c r="H16" s="48"/>
      <c r="I16" s="48"/>
      <c r="J16" s="48"/>
      <c r="K16" s="48"/>
      <c r="L16" s="48"/>
      <c r="M16" s="48"/>
      <c r="N16" s="48"/>
      <c r="O16" s="48"/>
    </row>
    <row r="17" spans="3:15" ht="15">
      <c r="C17" s="306" t="s">
        <v>694</v>
      </c>
      <c r="E17" s="48"/>
      <c r="F17" s="48"/>
      <c r="G17" s="48"/>
      <c r="H17" s="48"/>
      <c r="I17" s="48"/>
      <c r="J17" s="48"/>
      <c r="K17" s="48"/>
      <c r="L17" s="48"/>
      <c r="M17" s="48"/>
      <c r="N17" s="48"/>
      <c r="O17" s="48"/>
    </row>
    <row r="18" spans="3:15" ht="15">
      <c r="C18" s="266" t="s">
        <v>695</v>
      </c>
      <c r="E18" s="48"/>
      <c r="F18" s="48"/>
      <c r="G18" s="48"/>
      <c r="H18" s="48"/>
      <c r="I18" s="48"/>
      <c r="J18" s="48"/>
      <c r="K18" s="48"/>
      <c r="L18" s="48"/>
      <c r="M18" s="48"/>
      <c r="N18" s="48"/>
      <c r="O18" s="48"/>
    </row>
    <row r="19" spans="3:15" ht="15">
      <c r="C19" s="266" t="s">
        <v>696</v>
      </c>
      <c r="E19" s="48"/>
      <c r="F19" s="48"/>
      <c r="G19" s="48"/>
      <c r="H19" s="48"/>
      <c r="I19" s="48"/>
      <c r="J19" s="48"/>
      <c r="K19" s="48"/>
      <c r="L19" s="48"/>
      <c r="M19" s="48"/>
      <c r="N19" s="48"/>
      <c r="O19" s="48"/>
    </row>
    <row r="20" spans="3:15" ht="15">
      <c r="C20" s="485" t="s">
        <v>702</v>
      </c>
      <c r="D20" s="485"/>
      <c r="E20" s="485"/>
      <c r="F20" s="485"/>
      <c r="G20" s="485"/>
      <c r="H20" s="485"/>
      <c r="I20" s="485"/>
      <c r="J20" s="485"/>
      <c r="K20" s="485"/>
      <c r="L20" s="485"/>
      <c r="M20" s="485"/>
      <c r="N20" s="485"/>
      <c r="O20" s="485"/>
    </row>
    <row r="21" spans="3:15" ht="15">
      <c r="C21" s="266" t="s">
        <v>697</v>
      </c>
      <c r="E21" s="48"/>
      <c r="F21" s="48"/>
      <c r="G21" s="48"/>
      <c r="H21" s="48"/>
      <c r="I21" s="48"/>
      <c r="J21" s="48"/>
      <c r="K21" s="48"/>
      <c r="L21" s="48"/>
      <c r="M21" s="48"/>
      <c r="N21" s="48"/>
      <c r="O21" s="48"/>
    </row>
    <row r="22" spans="3:15" ht="15">
      <c r="C22" s="266"/>
      <c r="E22" s="48"/>
      <c r="F22" s="48"/>
      <c r="G22" s="48"/>
      <c r="H22" s="48"/>
      <c r="I22" s="48"/>
      <c r="J22" s="48"/>
      <c r="K22" s="48"/>
      <c r="L22" s="48"/>
      <c r="M22" s="48"/>
      <c r="N22" s="48"/>
      <c r="O22" s="48"/>
    </row>
    <row r="23" spans="3:15" ht="15">
      <c r="C23" s="306" t="s">
        <v>645</v>
      </c>
      <c r="E23" s="48"/>
      <c r="F23" s="48"/>
      <c r="G23" s="48"/>
      <c r="H23" s="48"/>
      <c r="I23" s="48"/>
      <c r="J23" s="48"/>
      <c r="K23" s="48"/>
      <c r="L23" s="48"/>
      <c r="M23" s="48"/>
      <c r="N23" s="66"/>
      <c r="O23" s="48"/>
    </row>
    <row r="24" spans="3:15" ht="15">
      <c r="C24" s="487" t="s">
        <v>646</v>
      </c>
      <c r="D24" s="487"/>
      <c r="E24" s="487"/>
      <c r="F24" s="487"/>
      <c r="G24" s="487"/>
      <c r="H24" s="487"/>
      <c r="I24" s="487"/>
      <c r="J24" s="487"/>
      <c r="K24" s="487"/>
      <c r="L24" s="487"/>
      <c r="M24" s="487"/>
      <c r="N24" s="487"/>
      <c r="O24" s="487"/>
    </row>
    <row r="25" spans="3:15" ht="15">
      <c r="C25" s="487" t="s">
        <v>647</v>
      </c>
      <c r="D25" s="487"/>
      <c r="E25" s="487"/>
      <c r="F25" s="487"/>
      <c r="G25" s="487"/>
      <c r="H25" s="487"/>
      <c r="I25" s="487"/>
      <c r="J25" s="487"/>
      <c r="K25" s="487"/>
      <c r="L25" s="487"/>
      <c r="M25" s="487"/>
      <c r="N25" s="487"/>
      <c r="O25" s="487"/>
    </row>
    <row r="26" spans="3:15" ht="30" customHeight="1">
      <c r="C26" s="485" t="s">
        <v>698</v>
      </c>
      <c r="D26" s="485"/>
      <c r="E26" s="485"/>
      <c r="F26" s="485"/>
      <c r="G26" s="485"/>
      <c r="H26" s="485"/>
      <c r="I26" s="485"/>
      <c r="J26" s="485"/>
      <c r="K26" s="485"/>
      <c r="L26" s="485"/>
      <c r="M26" s="485"/>
      <c r="N26" s="485"/>
      <c r="O26" s="485"/>
    </row>
    <row r="27" spans="3:15" ht="30.75" customHeight="1">
      <c r="C27" s="485" t="s">
        <v>708</v>
      </c>
      <c r="D27" s="485"/>
      <c r="E27" s="485"/>
      <c r="F27" s="485"/>
      <c r="G27" s="485"/>
      <c r="H27" s="485"/>
      <c r="I27" s="485"/>
      <c r="J27" s="485"/>
      <c r="K27" s="485"/>
      <c r="L27" s="485"/>
      <c r="M27" s="485"/>
      <c r="N27" s="485"/>
      <c r="O27" s="485"/>
    </row>
    <row r="28" spans="3:15" ht="15">
      <c r="C28" s="488" t="s">
        <v>648</v>
      </c>
      <c r="D28" s="488"/>
      <c r="E28" s="488"/>
      <c r="F28" s="488"/>
      <c r="G28" s="488"/>
      <c r="H28" s="488"/>
      <c r="I28" s="488"/>
      <c r="J28" s="488"/>
      <c r="K28" s="488"/>
      <c r="L28" s="488"/>
      <c r="M28" s="488"/>
      <c r="N28" s="488"/>
      <c r="O28" s="488"/>
    </row>
    <row r="29" spans="3:15" ht="15">
      <c r="C29" s="485" t="s">
        <v>649</v>
      </c>
      <c r="D29" s="485"/>
      <c r="E29" s="485"/>
      <c r="F29" s="485"/>
      <c r="G29" s="485"/>
      <c r="H29" s="485"/>
      <c r="I29" s="485"/>
      <c r="J29" s="485"/>
      <c r="K29" s="485"/>
      <c r="L29" s="485"/>
      <c r="M29" s="485"/>
      <c r="N29" s="485"/>
      <c r="O29" s="485"/>
    </row>
    <row r="30" spans="3:15" ht="15">
      <c r="C30" s="485" t="s">
        <v>650</v>
      </c>
      <c r="D30" s="485"/>
      <c r="E30" s="485"/>
      <c r="F30" s="485"/>
      <c r="G30" s="485"/>
      <c r="H30" s="485"/>
      <c r="I30" s="485"/>
      <c r="J30" s="485"/>
      <c r="K30" s="485"/>
      <c r="L30" s="485"/>
      <c r="M30" s="485"/>
      <c r="N30" s="485"/>
      <c r="O30" s="485"/>
    </row>
    <row r="31" spans="3:15" ht="15">
      <c r="C31" s="485" t="s">
        <v>651</v>
      </c>
      <c r="D31" s="485"/>
      <c r="E31" s="485"/>
      <c r="F31" s="485"/>
      <c r="G31" s="485"/>
      <c r="H31" s="485"/>
      <c r="I31" s="485"/>
      <c r="J31" s="485"/>
      <c r="K31" s="485"/>
      <c r="L31" s="485"/>
      <c r="M31" s="485"/>
      <c r="N31" s="485"/>
      <c r="O31" s="485"/>
    </row>
    <row r="32" spans="3:15" ht="30" customHeight="1">
      <c r="C32" s="485" t="s">
        <v>703</v>
      </c>
      <c r="D32" s="485"/>
      <c r="E32" s="485"/>
      <c r="F32" s="485"/>
      <c r="G32" s="485"/>
      <c r="H32" s="485"/>
      <c r="I32" s="485"/>
      <c r="J32" s="485"/>
      <c r="K32" s="485"/>
      <c r="L32" s="485"/>
      <c r="M32" s="485"/>
      <c r="N32" s="485"/>
      <c r="O32" s="485"/>
    </row>
    <row r="33" spans="3:15" ht="15">
      <c r="C33" s="485" t="s">
        <v>699</v>
      </c>
      <c r="D33" s="485"/>
      <c r="E33" s="485"/>
      <c r="F33" s="485"/>
      <c r="G33" s="485"/>
      <c r="H33" s="485"/>
      <c r="I33" s="485"/>
      <c r="J33" s="485"/>
      <c r="K33" s="485"/>
      <c r="L33" s="485"/>
      <c r="M33" s="485"/>
      <c r="N33" s="485"/>
      <c r="O33" s="485"/>
    </row>
    <row r="34" spans="3:15" ht="15">
      <c r="C34" s="266"/>
      <c r="E34" s="48"/>
      <c r="F34" s="66"/>
      <c r="G34" s="48"/>
      <c r="H34" s="48"/>
      <c r="I34" s="48"/>
      <c r="J34" s="48"/>
      <c r="K34" s="48"/>
      <c r="L34" s="48"/>
      <c r="M34" s="48"/>
      <c r="N34" s="66"/>
      <c r="O34" s="48"/>
    </row>
    <row r="35" spans="3:15" ht="15">
      <c r="C35" s="306" t="s">
        <v>652</v>
      </c>
      <c r="E35" s="48"/>
      <c r="F35" s="66"/>
      <c r="G35" s="48"/>
      <c r="H35" s="48"/>
      <c r="I35" s="48"/>
      <c r="J35" s="48"/>
      <c r="K35" s="48"/>
      <c r="L35" s="48"/>
      <c r="M35" s="48"/>
      <c r="N35" s="66"/>
      <c r="O35" s="48"/>
    </row>
    <row r="36" spans="3:15" ht="15">
      <c r="C36" s="485" t="s">
        <v>653</v>
      </c>
      <c r="D36" s="485"/>
      <c r="E36" s="485"/>
      <c r="F36" s="485"/>
      <c r="G36" s="485"/>
      <c r="H36" s="485"/>
      <c r="I36" s="485"/>
      <c r="J36" s="485"/>
      <c r="K36" s="485"/>
      <c r="L36" s="485"/>
      <c r="M36" s="485"/>
      <c r="N36" s="485"/>
      <c r="O36" s="485"/>
    </row>
    <row r="37" spans="3:15" ht="15">
      <c r="C37" s="485" t="s">
        <v>654</v>
      </c>
      <c r="D37" s="485"/>
      <c r="E37" s="485"/>
      <c r="F37" s="485"/>
      <c r="G37" s="485"/>
      <c r="H37" s="485"/>
      <c r="I37" s="485"/>
      <c r="J37" s="485"/>
      <c r="K37" s="485"/>
      <c r="L37" s="485"/>
      <c r="M37" s="485"/>
      <c r="N37" s="485"/>
      <c r="O37" s="485"/>
    </row>
    <row r="38" spans="3:15" ht="45" customHeight="1">
      <c r="C38" s="485" t="s">
        <v>707</v>
      </c>
      <c r="D38" s="485"/>
      <c r="E38" s="485"/>
      <c r="F38" s="485"/>
      <c r="G38" s="485"/>
      <c r="H38" s="485"/>
      <c r="I38" s="485"/>
      <c r="J38" s="485"/>
      <c r="K38" s="485"/>
      <c r="L38" s="485"/>
      <c r="M38" s="485"/>
      <c r="N38" s="485"/>
      <c r="O38" s="485"/>
    </row>
    <row r="39" spans="3:15" ht="15">
      <c r="C39" s="485" t="s">
        <v>655</v>
      </c>
      <c r="D39" s="485"/>
      <c r="E39" s="485"/>
      <c r="F39" s="485"/>
      <c r="G39" s="485"/>
      <c r="H39" s="485"/>
      <c r="I39" s="485"/>
      <c r="J39" s="485"/>
      <c r="K39" s="485"/>
      <c r="L39" s="485"/>
      <c r="M39" s="485"/>
      <c r="N39" s="485"/>
      <c r="O39" s="485"/>
    </row>
    <row r="40" spans="3:15" ht="30" customHeight="1">
      <c r="C40" s="485" t="s">
        <v>709</v>
      </c>
      <c r="D40" s="485"/>
      <c r="E40" s="485"/>
      <c r="F40" s="485"/>
      <c r="G40" s="485"/>
      <c r="H40" s="485"/>
      <c r="I40" s="485"/>
      <c r="J40" s="485"/>
      <c r="K40" s="485"/>
      <c r="L40" s="485"/>
      <c r="M40" s="485"/>
      <c r="N40" s="485"/>
      <c r="O40" s="485"/>
    </row>
    <row r="41" spans="3:14" ht="15">
      <c r="C41" s="266"/>
      <c r="F41" s="267"/>
      <c r="N41" s="267"/>
    </row>
    <row r="43" spans="3:6" ht="12.75">
      <c r="C43" s="267"/>
      <c r="F43" s="267"/>
    </row>
    <row r="44" ht="12.75">
      <c r="F44" s="267"/>
    </row>
    <row r="45" spans="6:14" ht="12.75">
      <c r="F45" s="267"/>
      <c r="L45" s="273"/>
      <c r="M45" s="273"/>
      <c r="N45" s="273"/>
    </row>
    <row r="46" spans="3:6" ht="12.75">
      <c r="C46" s="267"/>
      <c r="F46" s="267"/>
    </row>
    <row r="47" ht="12.75">
      <c r="F47" s="267"/>
    </row>
    <row r="48" ht="12.75">
      <c r="F48" s="267"/>
    </row>
    <row r="49" ht="12.75">
      <c r="F49" s="267"/>
    </row>
    <row r="51" spans="3:6" ht="12.75">
      <c r="C51" s="267"/>
      <c r="F51" s="267"/>
    </row>
    <row r="52" ht="12.75">
      <c r="F52" s="267"/>
    </row>
    <row r="53" ht="12.75">
      <c r="F53" s="267"/>
    </row>
    <row r="54" ht="12.75">
      <c r="F54" s="267"/>
    </row>
    <row r="55" ht="12.75">
      <c r="F55" s="267"/>
    </row>
    <row r="56" ht="12.75">
      <c r="F56" s="267"/>
    </row>
    <row r="57" ht="12.75">
      <c r="F57" s="267"/>
    </row>
    <row r="58" spans="3:6" ht="12.75">
      <c r="C58" s="267"/>
      <c r="F58" s="267"/>
    </row>
    <row r="59" ht="12.75">
      <c r="F59" s="267"/>
    </row>
    <row r="60" ht="12.75">
      <c r="F60" s="267"/>
    </row>
    <row r="61" spans="3:6" ht="12.75">
      <c r="C61" s="267"/>
      <c r="F61" s="267"/>
    </row>
    <row r="62" ht="12.75">
      <c r="F62" s="267"/>
    </row>
    <row r="63" ht="12.75">
      <c r="F63" s="267"/>
    </row>
    <row r="64" ht="12.75">
      <c r="F64" s="267"/>
    </row>
    <row r="65" spans="3:6" ht="12.75">
      <c r="C65" s="267"/>
      <c r="F65" s="267"/>
    </row>
    <row r="66" ht="12.75">
      <c r="F66" s="267"/>
    </row>
    <row r="67" ht="12.75">
      <c r="F67" s="267"/>
    </row>
    <row r="68" ht="12.75">
      <c r="F68" s="267"/>
    </row>
    <row r="69" ht="12.75">
      <c r="F69" s="267"/>
    </row>
    <row r="70" ht="12.75">
      <c r="F70" s="267"/>
    </row>
    <row r="72" spans="3:6" ht="12.75">
      <c r="C72" s="267"/>
      <c r="F72" s="267"/>
    </row>
    <row r="73" ht="12.75">
      <c r="F73" s="267"/>
    </row>
    <row r="74" ht="12.75">
      <c r="F74" s="267"/>
    </row>
    <row r="75" ht="12.75">
      <c r="F75" s="267"/>
    </row>
    <row r="76" ht="12.75">
      <c r="F76" s="267"/>
    </row>
    <row r="77" ht="12.75">
      <c r="F77" s="267"/>
    </row>
    <row r="78" ht="12.75">
      <c r="F78" s="267"/>
    </row>
    <row r="80" spans="3:6" ht="12.75">
      <c r="C80" s="267"/>
      <c r="F80" s="267"/>
    </row>
    <row r="81" ht="12.75">
      <c r="F81" s="267"/>
    </row>
    <row r="82" ht="12.75">
      <c r="F82" s="267"/>
    </row>
    <row r="83" ht="12.75">
      <c r="F83" s="267"/>
    </row>
    <row r="84" ht="12.75">
      <c r="F84" s="267"/>
    </row>
    <row r="85" ht="12.75">
      <c r="F85" s="267"/>
    </row>
    <row r="86" ht="12.75">
      <c r="F86" s="267"/>
    </row>
  </sheetData>
  <sheetProtection password="C3AC" sheet="1" objects="1" scenarios="1"/>
  <mergeCells count="18">
    <mergeCell ref="C38:O38"/>
    <mergeCell ref="C39:O39"/>
    <mergeCell ref="C40:O40"/>
    <mergeCell ref="C26:O26"/>
    <mergeCell ref="C27:O27"/>
    <mergeCell ref="C33:O33"/>
    <mergeCell ref="C36:O36"/>
    <mergeCell ref="C37:O37"/>
    <mergeCell ref="C32:O32"/>
    <mergeCell ref="C31:O31"/>
    <mergeCell ref="C30:O30"/>
    <mergeCell ref="C29:O29"/>
    <mergeCell ref="C28:O28"/>
    <mergeCell ref="C5:O5"/>
    <mergeCell ref="C2:O2"/>
    <mergeCell ref="C25:O25"/>
    <mergeCell ref="C24:O24"/>
    <mergeCell ref="C20:O20"/>
  </mergeCells>
  <printOptions/>
  <pageMargins left="0.7" right="0.7" top="0.75" bottom="0.75" header="0.3" footer="0.3"/>
  <pageSetup horizontalDpi="600" verticalDpi="600" orientation="portrait" scale="67"/>
</worksheet>
</file>

<file path=xl/worksheets/sheet10.xml><?xml version="1.0" encoding="utf-8"?>
<worksheet xmlns="http://schemas.openxmlformats.org/spreadsheetml/2006/main" xmlns:r="http://schemas.openxmlformats.org/officeDocument/2006/relationships">
  <sheetPr codeName="Sheet19">
    <pageSetUpPr fitToPage="1"/>
  </sheetPr>
  <dimension ref="A1:J520"/>
  <sheetViews>
    <sheetView zoomScalePageLayoutView="70" workbookViewId="0" topLeftCell="A1">
      <selection activeCell="A5" sqref="A5:B5"/>
    </sheetView>
  </sheetViews>
  <sheetFormatPr defaultColWidth="9.140625" defaultRowHeight="12.75"/>
  <cols>
    <col min="1" max="1" width="20.7109375" style="226" customWidth="1"/>
    <col min="2" max="7" width="16.7109375" style="226" customWidth="1"/>
    <col min="8" max="10" width="16.7109375" style="277" customWidth="1"/>
    <col min="11" max="11" width="9.140625" style="277" customWidth="1"/>
    <col min="12" max="16384" width="9.140625" style="226" customWidth="1"/>
  </cols>
  <sheetData>
    <row r="1" spans="1:10" ht="26.25" customHeight="1" thickBot="1">
      <c r="A1" s="290" t="s">
        <v>639</v>
      </c>
      <c r="B1" s="290"/>
      <c r="C1" s="290"/>
      <c r="D1" s="290"/>
      <c r="E1" s="290"/>
      <c r="F1" s="290"/>
      <c r="G1" s="290"/>
      <c r="H1" s="290"/>
      <c r="I1" s="290"/>
      <c r="J1" s="290"/>
    </row>
    <row r="2" spans="1:10" ht="9.75" customHeight="1" hidden="1" thickBot="1">
      <c r="A2" s="289"/>
      <c r="B2" s="289"/>
      <c r="C2" s="289"/>
      <c r="D2" s="289"/>
      <c r="E2" s="289"/>
      <c r="F2" s="289"/>
      <c r="G2" s="289"/>
      <c r="H2" s="289"/>
      <c r="I2" s="289"/>
      <c r="J2" s="289"/>
    </row>
    <row r="3" spans="1:7" ht="13.5" thickBot="1">
      <c r="A3" s="227"/>
      <c r="B3" s="227"/>
      <c r="C3" s="227"/>
      <c r="D3" s="227"/>
      <c r="E3" s="281"/>
      <c r="F3" s="227"/>
      <c r="G3" s="227"/>
    </row>
    <row r="4" spans="1:5" ht="13.5" thickBot="1">
      <c r="A4" s="1190" t="s">
        <v>0</v>
      </c>
      <c r="B4" s="1190"/>
      <c r="C4" s="1190"/>
      <c r="D4" s="1190"/>
      <c r="E4" s="281"/>
    </row>
    <row r="5" spans="1:5" ht="12.75">
      <c r="A5" s="1197" t="s">
        <v>636</v>
      </c>
      <c r="B5" s="1198"/>
      <c r="C5" s="1195"/>
      <c r="D5" s="1196"/>
      <c r="E5" s="282"/>
    </row>
    <row r="6" spans="1:5" ht="12.75">
      <c r="A6" s="1096" t="s">
        <v>637</v>
      </c>
      <c r="B6" s="995"/>
      <c r="C6" s="1193"/>
      <c r="D6" s="1194"/>
      <c r="E6" s="282"/>
    </row>
    <row r="7" spans="1:5" ht="12.75">
      <c r="A7" s="1096" t="s">
        <v>642</v>
      </c>
      <c r="B7" s="995"/>
      <c r="C7" s="1191"/>
      <c r="D7" s="1192"/>
      <c r="E7" s="288"/>
    </row>
    <row r="8" spans="1:7" ht="12.75">
      <c r="A8" s="227"/>
      <c r="B8" s="227"/>
      <c r="C8" s="228"/>
      <c r="D8" s="228"/>
      <c r="E8" s="282"/>
      <c r="F8" s="228"/>
      <c r="G8" s="228"/>
    </row>
    <row r="9" spans="1:7" ht="12.75">
      <c r="A9" s="227"/>
      <c r="B9" s="227"/>
      <c r="C9" s="228"/>
      <c r="D9" s="228"/>
      <c r="E9" s="228"/>
      <c r="F9" s="228"/>
      <c r="G9" s="228"/>
    </row>
    <row r="10" spans="1:10" ht="21.95" customHeight="1" thickBot="1">
      <c r="A10" s="289" t="str">
        <f>CONCATENATE(C6,"-Year Analysis Summary Report")</f>
        <v>-Year Analysis Summary Report</v>
      </c>
      <c r="B10" s="289"/>
      <c r="C10" s="289"/>
      <c r="D10" s="289"/>
      <c r="E10" s="289"/>
      <c r="F10" s="289"/>
      <c r="G10" s="289"/>
      <c r="H10" s="289"/>
      <c r="I10" s="289"/>
      <c r="J10" s="289"/>
    </row>
    <row r="11" spans="1:10" ht="36.75" customHeight="1">
      <c r="A11" s="1202" t="s">
        <v>12</v>
      </c>
      <c r="B11" s="1201" t="s">
        <v>662</v>
      </c>
      <c r="C11" s="1201"/>
      <c r="D11" s="1201"/>
      <c r="E11" s="1201" t="s">
        <v>663</v>
      </c>
      <c r="F11" s="1201"/>
      <c r="G11" s="1201"/>
      <c r="H11" s="1199" t="s">
        <v>641</v>
      </c>
      <c r="I11" s="1200"/>
      <c r="J11" s="1200"/>
    </row>
    <row r="12" spans="1:10" ht="13.5" thickBot="1">
      <c r="A12" s="949"/>
      <c r="B12" s="250" t="s">
        <v>438</v>
      </c>
      <c r="C12" s="250" t="s">
        <v>91</v>
      </c>
      <c r="D12" s="250" t="s">
        <v>444</v>
      </c>
      <c r="E12" s="250" t="s">
        <v>438</v>
      </c>
      <c r="F12" s="250" t="s">
        <v>91</v>
      </c>
      <c r="G12" s="279" t="s">
        <v>444</v>
      </c>
      <c r="H12" s="250" t="s">
        <v>438</v>
      </c>
      <c r="I12" s="250" t="s">
        <v>91</v>
      </c>
      <c r="J12" s="279" t="s">
        <v>444</v>
      </c>
    </row>
    <row r="13" spans="1:10" ht="12.75">
      <c r="A13" s="438"/>
      <c r="B13" s="253"/>
      <c r="C13" s="253"/>
      <c r="D13" s="253"/>
      <c r="E13" s="253"/>
      <c r="F13" s="253"/>
      <c r="G13" s="280"/>
      <c r="H13" s="353"/>
      <c r="I13" s="353"/>
      <c r="J13" s="467"/>
    </row>
    <row r="14" spans="1:10" ht="12.75">
      <c r="A14" s="432"/>
      <c r="B14" s="430"/>
      <c r="C14" s="430"/>
      <c r="D14" s="430"/>
      <c r="E14" s="430"/>
      <c r="F14" s="430"/>
      <c r="G14" s="431"/>
      <c r="H14" s="430"/>
      <c r="I14" s="430"/>
      <c r="J14" s="431"/>
    </row>
    <row r="15" spans="1:10" ht="12.75">
      <c r="A15" s="432"/>
      <c r="B15" s="430"/>
      <c r="C15" s="430"/>
      <c r="D15" s="430"/>
      <c r="E15" s="430"/>
      <c r="F15" s="430"/>
      <c r="G15" s="431"/>
      <c r="H15" s="430"/>
      <c r="I15" s="430"/>
      <c r="J15" s="431"/>
    </row>
    <row r="16" spans="1:10" ht="12.75">
      <c r="A16" s="432"/>
      <c r="B16" s="430"/>
      <c r="C16" s="430"/>
      <c r="D16" s="430"/>
      <c r="E16" s="430"/>
      <c r="F16" s="430"/>
      <c r="G16" s="431"/>
      <c r="H16" s="430"/>
      <c r="I16" s="430"/>
      <c r="J16" s="431"/>
    </row>
    <row r="17" spans="1:10" ht="12.75">
      <c r="A17" s="432"/>
      <c r="B17" s="430"/>
      <c r="C17" s="430"/>
      <c r="D17" s="430"/>
      <c r="E17" s="430"/>
      <c r="F17" s="430"/>
      <c r="G17" s="431"/>
      <c r="H17" s="430"/>
      <c r="I17" s="430"/>
      <c r="J17" s="431"/>
    </row>
    <row r="18" spans="1:10" ht="12.75">
      <c r="A18" s="432"/>
      <c r="B18" s="430"/>
      <c r="C18" s="430"/>
      <c r="D18" s="430"/>
      <c r="E18" s="430"/>
      <c r="F18" s="430"/>
      <c r="G18" s="431"/>
      <c r="H18" s="430"/>
      <c r="I18" s="430"/>
      <c r="J18" s="431"/>
    </row>
    <row r="19" spans="1:10" ht="12.75">
      <c r="A19" s="432"/>
      <c r="B19" s="430"/>
      <c r="C19" s="430"/>
      <c r="D19" s="430"/>
      <c r="E19" s="430"/>
      <c r="F19" s="430"/>
      <c r="G19" s="431"/>
      <c r="H19" s="430"/>
      <c r="I19" s="430"/>
      <c r="J19" s="431"/>
    </row>
    <row r="20" spans="1:10" ht="12.75">
      <c r="A20" s="432"/>
      <c r="B20" s="430"/>
      <c r="C20" s="430"/>
      <c r="D20" s="430"/>
      <c r="E20" s="430"/>
      <c r="F20" s="430"/>
      <c r="G20" s="431"/>
      <c r="H20" s="430"/>
      <c r="I20" s="430"/>
      <c r="J20" s="431"/>
    </row>
    <row r="21" spans="1:10" ht="12.75">
      <c r="A21" s="432"/>
      <c r="B21" s="430"/>
      <c r="C21" s="430"/>
      <c r="D21" s="430"/>
      <c r="E21" s="430"/>
      <c r="F21" s="430"/>
      <c r="G21" s="431"/>
      <c r="H21" s="430"/>
      <c r="I21" s="430"/>
      <c r="J21" s="431"/>
    </row>
    <row r="22" spans="1:10" ht="12.75">
      <c r="A22" s="432"/>
      <c r="B22" s="430"/>
      <c r="C22" s="430"/>
      <c r="D22" s="430"/>
      <c r="E22" s="430"/>
      <c r="F22" s="430"/>
      <c r="G22" s="431"/>
      <c r="H22" s="430"/>
      <c r="I22" s="430"/>
      <c r="J22" s="431"/>
    </row>
    <row r="23" spans="1:10" ht="12.75">
      <c r="A23" s="432"/>
      <c r="B23" s="430"/>
      <c r="C23" s="430"/>
      <c r="D23" s="430"/>
      <c r="E23" s="430"/>
      <c r="F23" s="430"/>
      <c r="G23" s="431"/>
      <c r="H23" s="430"/>
      <c r="I23" s="430"/>
      <c r="J23" s="431"/>
    </row>
    <row r="24" spans="1:10" ht="12.75">
      <c r="A24" s="432"/>
      <c r="B24" s="430"/>
      <c r="C24" s="430"/>
      <c r="D24" s="430"/>
      <c r="E24" s="430"/>
      <c r="F24" s="430"/>
      <c r="G24" s="431"/>
      <c r="H24" s="430"/>
      <c r="I24" s="430"/>
      <c r="J24" s="431"/>
    </row>
    <row r="25" spans="1:10" ht="12.75">
      <c r="A25" s="432"/>
      <c r="B25" s="430"/>
      <c r="C25" s="430"/>
      <c r="D25" s="430"/>
      <c r="E25" s="430"/>
      <c r="F25" s="430"/>
      <c r="G25" s="431"/>
      <c r="H25" s="430"/>
      <c r="I25" s="430"/>
      <c r="J25" s="431"/>
    </row>
    <row r="26" spans="1:10" ht="12.75">
      <c r="A26" s="432"/>
      <c r="B26" s="430"/>
      <c r="C26" s="430"/>
      <c r="D26" s="430"/>
      <c r="E26" s="430"/>
      <c r="F26" s="430"/>
      <c r="G26" s="431"/>
      <c r="H26" s="430"/>
      <c r="I26" s="430"/>
      <c r="J26" s="431"/>
    </row>
    <row r="27" spans="1:10" ht="12.75">
      <c r="A27" s="432"/>
      <c r="B27" s="430"/>
      <c r="C27" s="430"/>
      <c r="D27" s="430"/>
      <c r="E27" s="430"/>
      <c r="F27" s="430"/>
      <c r="G27" s="431"/>
      <c r="H27" s="430"/>
      <c r="I27" s="430"/>
      <c r="J27" s="431"/>
    </row>
    <row r="28" spans="1:10" ht="12.75">
      <c r="A28" s="432"/>
      <c r="B28" s="430"/>
      <c r="C28" s="430"/>
      <c r="D28" s="430"/>
      <c r="E28" s="430"/>
      <c r="F28" s="430"/>
      <c r="G28" s="431"/>
      <c r="H28" s="430"/>
      <c r="I28" s="430"/>
      <c r="J28" s="431"/>
    </row>
    <row r="29" spans="1:10" ht="12.75">
      <c r="A29" s="432"/>
      <c r="B29" s="430"/>
      <c r="C29" s="430"/>
      <c r="D29" s="430"/>
      <c r="E29" s="430"/>
      <c r="F29" s="430"/>
      <c r="G29" s="431"/>
      <c r="H29" s="430"/>
      <c r="I29" s="430"/>
      <c r="J29" s="431"/>
    </row>
    <row r="30" spans="1:10" ht="12.75">
      <c r="A30" s="432"/>
      <c r="B30" s="430"/>
      <c r="C30" s="430"/>
      <c r="D30" s="430"/>
      <c r="E30" s="430"/>
      <c r="F30" s="430"/>
      <c r="G30" s="431"/>
      <c r="H30" s="430"/>
      <c r="I30" s="430"/>
      <c r="J30" s="431"/>
    </row>
    <row r="31" spans="1:10" ht="12.75">
      <c r="A31" s="432"/>
      <c r="B31" s="430"/>
      <c r="C31" s="430"/>
      <c r="D31" s="430"/>
      <c r="E31" s="430"/>
      <c r="F31" s="430"/>
      <c r="G31" s="431"/>
      <c r="H31" s="430"/>
      <c r="I31" s="430"/>
      <c r="J31" s="431"/>
    </row>
    <row r="32" spans="1:10" ht="12.75">
      <c r="A32" s="432"/>
      <c r="B32" s="430"/>
      <c r="C32" s="430"/>
      <c r="D32" s="430"/>
      <c r="E32" s="430"/>
      <c r="F32" s="430"/>
      <c r="G32" s="431"/>
      <c r="H32" s="430"/>
      <c r="I32" s="430"/>
      <c r="J32" s="431"/>
    </row>
    <row r="33" spans="1:10" ht="12.75">
      <c r="A33" s="432"/>
      <c r="B33" s="430"/>
      <c r="C33" s="430"/>
      <c r="D33" s="430"/>
      <c r="E33" s="430"/>
      <c r="F33" s="430"/>
      <c r="G33" s="431"/>
      <c r="H33" s="430"/>
      <c r="I33" s="430"/>
      <c r="J33" s="431"/>
    </row>
    <row r="34" spans="1:10" ht="12.75">
      <c r="A34" s="432"/>
      <c r="B34" s="430"/>
      <c r="C34" s="430"/>
      <c r="D34" s="430"/>
      <c r="E34" s="430"/>
      <c r="F34" s="430"/>
      <c r="G34" s="431"/>
      <c r="H34" s="430"/>
      <c r="I34" s="430"/>
      <c r="J34" s="431"/>
    </row>
    <row r="35" spans="1:10" ht="12.75">
      <c r="A35" s="432"/>
      <c r="B35" s="430"/>
      <c r="C35" s="430"/>
      <c r="D35" s="430"/>
      <c r="E35" s="430"/>
      <c r="F35" s="430"/>
      <c r="G35" s="431"/>
      <c r="H35" s="430"/>
      <c r="I35" s="430"/>
      <c r="J35" s="431"/>
    </row>
    <row r="36" spans="1:10" ht="12.75">
      <c r="A36" s="432"/>
      <c r="B36" s="430"/>
      <c r="C36" s="430"/>
      <c r="D36" s="430"/>
      <c r="E36" s="430"/>
      <c r="F36" s="430"/>
      <c r="G36" s="431"/>
      <c r="H36" s="430"/>
      <c r="I36" s="430"/>
      <c r="J36" s="431"/>
    </row>
    <row r="37" spans="1:10" ht="12.75">
      <c r="A37" s="432"/>
      <c r="B37" s="430"/>
      <c r="C37" s="430"/>
      <c r="D37" s="430"/>
      <c r="E37" s="430"/>
      <c r="F37" s="430"/>
      <c r="G37" s="431"/>
      <c r="H37" s="430"/>
      <c r="I37" s="430"/>
      <c r="J37" s="431"/>
    </row>
    <row r="38" spans="1:10" ht="12.75">
      <c r="A38" s="432"/>
      <c r="B38" s="430"/>
      <c r="C38" s="430"/>
      <c r="D38" s="430"/>
      <c r="E38" s="430"/>
      <c r="F38" s="430"/>
      <c r="G38" s="431"/>
      <c r="H38" s="430"/>
      <c r="I38" s="430"/>
      <c r="J38" s="431"/>
    </row>
    <row r="39" spans="1:10" ht="12.75">
      <c r="A39" s="432"/>
      <c r="B39" s="430"/>
      <c r="C39" s="430"/>
      <c r="D39" s="430"/>
      <c r="E39" s="430"/>
      <c r="F39" s="430"/>
      <c r="G39" s="431"/>
      <c r="H39" s="430"/>
      <c r="I39" s="430"/>
      <c r="J39" s="431"/>
    </row>
    <row r="40" spans="1:10" ht="12.75">
      <c r="A40" s="432"/>
      <c r="B40" s="430"/>
      <c r="C40" s="430"/>
      <c r="D40" s="430"/>
      <c r="E40" s="430"/>
      <c r="F40" s="430"/>
      <c r="G40" s="431"/>
      <c r="H40" s="430"/>
      <c r="I40" s="430"/>
      <c r="J40" s="431"/>
    </row>
    <row r="41" spans="1:10" ht="12.75">
      <c r="A41" s="432"/>
      <c r="B41" s="430"/>
      <c r="C41" s="430"/>
      <c r="D41" s="430"/>
      <c r="E41" s="430"/>
      <c r="F41" s="430"/>
      <c r="G41" s="431"/>
      <c r="H41" s="430"/>
      <c r="I41" s="430"/>
      <c r="J41" s="431"/>
    </row>
    <row r="42" spans="1:10" ht="12.75">
      <c r="A42" s="432"/>
      <c r="B42" s="430"/>
      <c r="C42" s="430"/>
      <c r="D42" s="430"/>
      <c r="E42" s="430"/>
      <c r="F42" s="430"/>
      <c r="G42" s="431"/>
      <c r="H42" s="430"/>
      <c r="I42" s="430"/>
      <c r="J42" s="431"/>
    </row>
    <row r="43" spans="1:10" ht="12.75">
      <c r="A43" s="432"/>
      <c r="B43" s="430"/>
      <c r="C43" s="430"/>
      <c r="D43" s="430"/>
      <c r="E43" s="430"/>
      <c r="F43" s="430"/>
      <c r="G43" s="431"/>
      <c r="H43" s="430"/>
      <c r="I43" s="430"/>
      <c r="J43" s="431"/>
    </row>
    <row r="44" spans="1:10" ht="12.75">
      <c r="A44" s="432"/>
      <c r="B44" s="430"/>
      <c r="C44" s="430"/>
      <c r="D44" s="430"/>
      <c r="E44" s="430"/>
      <c r="F44" s="430"/>
      <c r="G44" s="431"/>
      <c r="H44" s="430"/>
      <c r="I44" s="430"/>
      <c r="J44" s="431"/>
    </row>
    <row r="45" spans="1:10" ht="12.75">
      <c r="A45" s="432"/>
      <c r="B45" s="430"/>
      <c r="C45" s="430"/>
      <c r="D45" s="430"/>
      <c r="E45" s="430"/>
      <c r="F45" s="430"/>
      <c r="G45" s="431"/>
      <c r="H45" s="430"/>
      <c r="I45" s="430"/>
      <c r="J45" s="431"/>
    </row>
    <row r="46" spans="1:10" ht="12.75">
      <c r="A46" s="432"/>
      <c r="B46" s="430"/>
      <c r="C46" s="430"/>
      <c r="D46" s="430"/>
      <c r="E46" s="430"/>
      <c r="F46" s="430"/>
      <c r="G46" s="431"/>
      <c r="H46" s="430"/>
      <c r="I46" s="430"/>
      <c r="J46" s="431"/>
    </row>
    <row r="47" spans="1:10" ht="12.75">
      <c r="A47" s="432"/>
      <c r="B47" s="430"/>
      <c r="C47" s="430"/>
      <c r="D47" s="430"/>
      <c r="E47" s="430"/>
      <c r="F47" s="430"/>
      <c r="G47" s="431"/>
      <c r="H47" s="430"/>
      <c r="I47" s="430"/>
      <c r="J47" s="431"/>
    </row>
    <row r="48" spans="1:10" ht="12.75">
      <c r="A48" s="432"/>
      <c r="B48" s="430"/>
      <c r="C48" s="430"/>
      <c r="D48" s="430"/>
      <c r="E48" s="430"/>
      <c r="F48" s="430"/>
      <c r="G48" s="431"/>
      <c r="H48" s="430"/>
      <c r="I48" s="430"/>
      <c r="J48" s="431"/>
    </row>
    <row r="49" spans="1:10" ht="12.75">
      <c r="A49" s="432"/>
      <c r="B49" s="430"/>
      <c r="C49" s="430"/>
      <c r="D49" s="430"/>
      <c r="E49" s="430"/>
      <c r="F49" s="430"/>
      <c r="G49" s="431"/>
      <c r="H49" s="430"/>
      <c r="I49" s="430"/>
      <c r="J49" s="431"/>
    </row>
    <row r="50" spans="1:10" ht="12.75">
      <c r="A50" s="432"/>
      <c r="B50" s="430"/>
      <c r="C50" s="430"/>
      <c r="D50" s="430"/>
      <c r="E50" s="430"/>
      <c r="F50" s="430"/>
      <c r="G50" s="431"/>
      <c r="H50" s="430"/>
      <c r="I50" s="430"/>
      <c r="J50" s="431"/>
    </row>
    <row r="51" spans="1:10" ht="12.75">
      <c r="A51" s="432"/>
      <c r="B51" s="430"/>
      <c r="C51" s="430"/>
      <c r="D51" s="430"/>
      <c r="E51" s="430"/>
      <c r="F51" s="430"/>
      <c r="G51" s="431"/>
      <c r="H51" s="430"/>
      <c r="I51" s="430"/>
      <c r="J51" s="431"/>
    </row>
    <row r="52" spans="1:10" ht="12.75">
      <c r="A52" s="432"/>
      <c r="B52" s="430"/>
      <c r="C52" s="430"/>
      <c r="D52" s="430"/>
      <c r="E52" s="430"/>
      <c r="F52" s="430"/>
      <c r="G52" s="431"/>
      <c r="H52" s="430"/>
      <c r="I52" s="430"/>
      <c r="J52" s="431"/>
    </row>
    <row r="53" spans="1:10" ht="12.75">
      <c r="A53" s="432"/>
      <c r="B53" s="430"/>
      <c r="C53" s="430"/>
      <c r="D53" s="430"/>
      <c r="E53" s="430"/>
      <c r="F53" s="430"/>
      <c r="G53" s="431"/>
      <c r="H53" s="430"/>
      <c r="I53" s="430"/>
      <c r="J53" s="431"/>
    </row>
    <row r="54" spans="1:10" ht="12.75">
      <c r="A54" s="432"/>
      <c r="B54" s="430"/>
      <c r="C54" s="430"/>
      <c r="D54" s="430"/>
      <c r="E54" s="430"/>
      <c r="F54" s="430"/>
      <c r="G54" s="431"/>
      <c r="H54" s="430"/>
      <c r="I54" s="430"/>
      <c r="J54" s="431"/>
    </row>
    <row r="55" spans="1:10" ht="12.75">
      <c r="A55" s="432"/>
      <c r="B55" s="430"/>
      <c r="C55" s="430"/>
      <c r="D55" s="430"/>
      <c r="E55" s="430"/>
      <c r="F55" s="430"/>
      <c r="G55" s="431"/>
      <c r="H55" s="430"/>
      <c r="I55" s="430"/>
      <c r="J55" s="431"/>
    </row>
    <row r="56" spans="1:10" ht="12.75">
      <c r="A56" s="432"/>
      <c r="B56" s="430"/>
      <c r="C56" s="430"/>
      <c r="D56" s="430"/>
      <c r="E56" s="430"/>
      <c r="F56" s="430"/>
      <c r="G56" s="431"/>
      <c r="H56" s="430"/>
      <c r="I56" s="430"/>
      <c r="J56" s="431"/>
    </row>
    <row r="57" spans="1:10" ht="12.75">
      <c r="A57" s="432"/>
      <c r="B57" s="430"/>
      <c r="C57" s="430"/>
      <c r="D57" s="430"/>
      <c r="E57" s="430"/>
      <c r="F57" s="430"/>
      <c r="G57" s="431"/>
      <c r="H57" s="430"/>
      <c r="I57" s="430"/>
      <c r="J57" s="431"/>
    </row>
    <row r="58" spans="1:10" ht="12.75">
      <c r="A58" s="432"/>
      <c r="B58" s="430"/>
      <c r="C58" s="430"/>
      <c r="D58" s="430"/>
      <c r="E58" s="430"/>
      <c r="F58" s="430"/>
      <c r="G58" s="431"/>
      <c r="H58" s="430"/>
      <c r="I58" s="430"/>
      <c r="J58" s="431"/>
    </row>
    <row r="59" spans="1:10" ht="12.75">
      <c r="A59" s="432"/>
      <c r="B59" s="430"/>
      <c r="C59" s="430"/>
      <c r="D59" s="430"/>
      <c r="E59" s="430"/>
      <c r="F59" s="430"/>
      <c r="G59" s="431"/>
      <c r="H59" s="430"/>
      <c r="I59" s="430"/>
      <c r="J59" s="431"/>
    </row>
    <row r="60" spans="1:10" ht="12.75">
      <c r="A60" s="432"/>
      <c r="B60" s="430"/>
      <c r="C60" s="430"/>
      <c r="D60" s="430"/>
      <c r="E60" s="430"/>
      <c r="F60" s="430"/>
      <c r="G60" s="431"/>
      <c r="H60" s="430"/>
      <c r="I60" s="430"/>
      <c r="J60" s="431"/>
    </row>
    <row r="61" spans="1:10" ht="12.75">
      <c r="A61" s="432"/>
      <c r="B61" s="430"/>
      <c r="C61" s="430"/>
      <c r="D61" s="430"/>
      <c r="E61" s="430"/>
      <c r="F61" s="430"/>
      <c r="G61" s="431"/>
      <c r="H61" s="430"/>
      <c r="I61" s="430"/>
      <c r="J61" s="431"/>
    </row>
    <row r="62" spans="1:10" ht="12.75">
      <c r="A62" s="432"/>
      <c r="B62" s="430"/>
      <c r="C62" s="430"/>
      <c r="D62" s="430"/>
      <c r="E62" s="430"/>
      <c r="F62" s="430"/>
      <c r="G62" s="431"/>
      <c r="H62" s="430"/>
      <c r="I62" s="430"/>
      <c r="J62" s="431"/>
    </row>
    <row r="63" spans="1:10" ht="12.75">
      <c r="A63" s="432"/>
      <c r="B63" s="430"/>
      <c r="C63" s="430"/>
      <c r="D63" s="430"/>
      <c r="E63" s="430"/>
      <c r="F63" s="430"/>
      <c r="G63" s="431"/>
      <c r="H63" s="430"/>
      <c r="I63" s="430"/>
      <c r="J63" s="431"/>
    </row>
    <row r="64" spans="1:10" ht="12.75">
      <c r="A64" s="432"/>
      <c r="B64" s="430"/>
      <c r="C64" s="430"/>
      <c r="D64" s="430"/>
      <c r="E64" s="430"/>
      <c r="F64" s="430"/>
      <c r="G64" s="431"/>
      <c r="H64" s="430"/>
      <c r="I64" s="430"/>
      <c r="J64" s="431"/>
    </row>
    <row r="65" spans="1:10" ht="12.75">
      <c r="A65" s="432"/>
      <c r="B65" s="430"/>
      <c r="C65" s="430"/>
      <c r="D65" s="430"/>
      <c r="E65" s="430"/>
      <c r="F65" s="430"/>
      <c r="G65" s="431"/>
      <c r="H65" s="430"/>
      <c r="I65" s="430"/>
      <c r="J65" s="431"/>
    </row>
    <row r="66" spans="1:10" ht="12.75">
      <c r="A66" s="432"/>
      <c r="B66" s="430"/>
      <c r="C66" s="430"/>
      <c r="D66" s="430"/>
      <c r="E66" s="430"/>
      <c r="F66" s="430"/>
      <c r="G66" s="431"/>
      <c r="H66" s="430"/>
      <c r="I66" s="430"/>
      <c r="J66" s="431"/>
    </row>
    <row r="67" spans="1:10" ht="12.75">
      <c r="A67" s="432"/>
      <c r="B67" s="430"/>
      <c r="C67" s="430"/>
      <c r="D67" s="430"/>
      <c r="E67" s="430"/>
      <c r="F67" s="430"/>
      <c r="G67" s="431"/>
      <c r="H67" s="430"/>
      <c r="I67" s="430"/>
      <c r="J67" s="431"/>
    </row>
    <row r="68" spans="1:10" ht="12.75">
      <c r="A68" s="432"/>
      <c r="B68" s="430"/>
      <c r="C68" s="430"/>
      <c r="D68" s="430"/>
      <c r="E68" s="430"/>
      <c r="F68" s="430"/>
      <c r="G68" s="431"/>
      <c r="H68" s="430"/>
      <c r="I68" s="430"/>
      <c r="J68" s="431"/>
    </row>
    <row r="69" spans="1:10" ht="12.75">
      <c r="A69" s="432"/>
      <c r="B69" s="430"/>
      <c r="C69" s="430"/>
      <c r="D69" s="430"/>
      <c r="E69" s="430"/>
      <c r="F69" s="430"/>
      <c r="G69" s="431"/>
      <c r="H69" s="430"/>
      <c r="I69" s="430"/>
      <c r="J69" s="431"/>
    </row>
    <row r="70" spans="1:10" ht="12.75">
      <c r="A70" s="432"/>
      <c r="B70" s="430"/>
      <c r="C70" s="430"/>
      <c r="D70" s="430"/>
      <c r="E70" s="430"/>
      <c r="F70" s="430"/>
      <c r="G70" s="431"/>
      <c r="H70" s="430"/>
      <c r="I70" s="430"/>
      <c r="J70" s="431"/>
    </row>
    <row r="71" spans="1:10" ht="12.75">
      <c r="A71" s="432"/>
      <c r="B71" s="430"/>
      <c r="C71" s="430"/>
      <c r="D71" s="430"/>
      <c r="E71" s="430"/>
      <c r="F71" s="430"/>
      <c r="G71" s="431"/>
      <c r="H71" s="430"/>
      <c r="I71" s="430"/>
      <c r="J71" s="431"/>
    </row>
    <row r="72" spans="1:10" ht="12.75">
      <c r="A72" s="432"/>
      <c r="B72" s="430"/>
      <c r="C72" s="430"/>
      <c r="D72" s="430"/>
      <c r="E72" s="430"/>
      <c r="F72" s="430"/>
      <c r="G72" s="431"/>
      <c r="H72" s="430"/>
      <c r="I72" s="430"/>
      <c r="J72" s="431"/>
    </row>
    <row r="73" spans="1:10" ht="12.75">
      <c r="A73" s="432"/>
      <c r="B73" s="430"/>
      <c r="C73" s="430"/>
      <c r="D73" s="430"/>
      <c r="E73" s="430"/>
      <c r="F73" s="430"/>
      <c r="G73" s="431"/>
      <c r="H73" s="430"/>
      <c r="I73" s="430"/>
      <c r="J73" s="431"/>
    </row>
    <row r="74" spans="1:10" ht="12.75">
      <c r="A74" s="432"/>
      <c r="B74" s="430"/>
      <c r="C74" s="430"/>
      <c r="D74" s="430"/>
      <c r="E74" s="430"/>
      <c r="F74" s="430"/>
      <c r="G74" s="431"/>
      <c r="H74" s="430"/>
      <c r="I74" s="430"/>
      <c r="J74" s="431"/>
    </row>
    <row r="75" spans="1:10" ht="12.75">
      <c r="A75" s="432"/>
      <c r="B75" s="430"/>
      <c r="C75" s="430"/>
      <c r="D75" s="430"/>
      <c r="E75" s="430"/>
      <c r="F75" s="430"/>
      <c r="G75" s="431"/>
      <c r="H75" s="430"/>
      <c r="I75" s="430"/>
      <c r="J75" s="431"/>
    </row>
    <row r="76" spans="1:10" ht="12.75">
      <c r="A76" s="432"/>
      <c r="B76" s="430"/>
      <c r="C76" s="430"/>
      <c r="D76" s="430"/>
      <c r="E76" s="430"/>
      <c r="F76" s="430"/>
      <c r="G76" s="431"/>
      <c r="H76" s="430"/>
      <c r="I76" s="430"/>
      <c r="J76" s="431"/>
    </row>
    <row r="77" spans="1:10" ht="12.75">
      <c r="A77" s="432"/>
      <c r="B77" s="430"/>
      <c r="C77" s="430"/>
      <c r="D77" s="430"/>
      <c r="E77" s="430"/>
      <c r="F77" s="430"/>
      <c r="G77" s="431"/>
      <c r="H77" s="430"/>
      <c r="I77" s="430"/>
      <c r="J77" s="431"/>
    </row>
    <row r="78" spans="1:10" ht="12.75">
      <c r="A78" s="432"/>
      <c r="B78" s="430"/>
      <c r="C78" s="430"/>
      <c r="D78" s="430"/>
      <c r="E78" s="430"/>
      <c r="F78" s="430"/>
      <c r="G78" s="431"/>
      <c r="H78" s="430"/>
      <c r="I78" s="430"/>
      <c r="J78" s="431"/>
    </row>
    <row r="79" spans="1:10" ht="12.75">
      <c r="A79" s="432"/>
      <c r="B79" s="430"/>
      <c r="C79" s="430"/>
      <c r="D79" s="430"/>
      <c r="E79" s="430"/>
      <c r="F79" s="430"/>
      <c r="G79" s="431"/>
      <c r="H79" s="430"/>
      <c r="I79" s="430"/>
      <c r="J79" s="431"/>
    </row>
    <row r="80" spans="1:10" ht="12.75">
      <c r="A80" s="432"/>
      <c r="B80" s="430"/>
      <c r="C80" s="430"/>
      <c r="D80" s="430"/>
      <c r="E80" s="430"/>
      <c r="F80" s="430"/>
      <c r="G80" s="431"/>
      <c r="H80" s="430"/>
      <c r="I80" s="430"/>
      <c r="J80" s="431"/>
    </row>
    <row r="81" spans="1:10" ht="12.75">
      <c r="A81" s="432"/>
      <c r="B81" s="430"/>
      <c r="C81" s="430"/>
      <c r="D81" s="430"/>
      <c r="E81" s="430"/>
      <c r="F81" s="430"/>
      <c r="G81" s="431"/>
      <c r="H81" s="430"/>
      <c r="I81" s="430"/>
      <c r="J81" s="431"/>
    </row>
    <row r="82" spans="1:10" ht="12.75">
      <c r="A82" s="432"/>
      <c r="B82" s="430"/>
      <c r="C82" s="430"/>
      <c r="D82" s="430"/>
      <c r="E82" s="430"/>
      <c r="F82" s="430"/>
      <c r="G82" s="431"/>
      <c r="H82" s="430"/>
      <c r="I82" s="430"/>
      <c r="J82" s="431"/>
    </row>
    <row r="83" spans="1:10" ht="12.75">
      <c r="A83" s="432"/>
      <c r="B83" s="430"/>
      <c r="C83" s="430"/>
      <c r="D83" s="430"/>
      <c r="E83" s="430"/>
      <c r="F83" s="430"/>
      <c r="G83" s="431"/>
      <c r="H83" s="430"/>
      <c r="I83" s="430"/>
      <c r="J83" s="431"/>
    </row>
    <row r="84" spans="1:10" ht="12.75">
      <c r="A84" s="432"/>
      <c r="B84" s="430"/>
      <c r="C84" s="430"/>
      <c r="D84" s="430"/>
      <c r="E84" s="430"/>
      <c r="F84" s="430"/>
      <c r="G84" s="431"/>
      <c r="H84" s="430"/>
      <c r="I84" s="430"/>
      <c r="J84" s="431"/>
    </row>
    <row r="85" spans="1:10" ht="12.75">
      <c r="A85" s="432"/>
      <c r="B85" s="430"/>
      <c r="C85" s="430"/>
      <c r="D85" s="430"/>
      <c r="E85" s="430"/>
      <c r="F85" s="430"/>
      <c r="G85" s="431"/>
      <c r="H85" s="430"/>
      <c r="I85" s="430"/>
      <c r="J85" s="431"/>
    </row>
    <row r="86" spans="1:10" ht="12.75">
      <c r="A86" s="432"/>
      <c r="B86" s="430"/>
      <c r="C86" s="430"/>
      <c r="D86" s="430"/>
      <c r="E86" s="430"/>
      <c r="F86" s="430"/>
      <c r="G86" s="431"/>
      <c r="H86" s="430"/>
      <c r="I86" s="430"/>
      <c r="J86" s="431"/>
    </row>
    <row r="87" spans="1:10" ht="12.75">
      <c r="A87" s="432"/>
      <c r="B87" s="430"/>
      <c r="C87" s="430"/>
      <c r="D87" s="430"/>
      <c r="E87" s="430"/>
      <c r="F87" s="430"/>
      <c r="G87" s="431"/>
      <c r="H87" s="430"/>
      <c r="I87" s="430"/>
      <c r="J87" s="431"/>
    </row>
    <row r="88" spans="1:7" ht="12.75">
      <c r="A88" s="251"/>
      <c r="B88" s="204"/>
      <c r="C88" s="204"/>
      <c r="D88" s="204"/>
      <c r="E88" s="204"/>
      <c r="F88" s="204"/>
      <c r="G88" s="204"/>
    </row>
    <row r="89" spans="1:7" ht="12.75">
      <c r="A89" s="251"/>
      <c r="B89" s="204"/>
      <c r="C89" s="204"/>
      <c r="D89" s="204"/>
      <c r="E89" s="204"/>
      <c r="F89" s="204"/>
      <c r="G89" s="204"/>
    </row>
    <row r="90" spans="1:7" ht="12.75">
      <c r="A90" s="251"/>
      <c r="B90" s="204"/>
      <c r="C90" s="204"/>
      <c r="D90" s="204"/>
      <c r="E90" s="204"/>
      <c r="F90" s="204"/>
      <c r="G90" s="204"/>
    </row>
    <row r="91" spans="1:7" ht="12.75">
      <c r="A91" s="251"/>
      <c r="B91" s="204"/>
      <c r="C91" s="204"/>
      <c r="D91" s="204"/>
      <c r="E91" s="204"/>
      <c r="F91" s="204"/>
      <c r="G91" s="204"/>
    </row>
    <row r="92" spans="1:7" ht="12.75">
      <c r="A92" s="251"/>
      <c r="B92" s="204"/>
      <c r="C92" s="204"/>
      <c r="D92" s="204"/>
      <c r="E92" s="204"/>
      <c r="F92" s="204"/>
      <c r="G92" s="204"/>
    </row>
    <row r="93" spans="1:7" ht="12.75">
      <c r="A93" s="251"/>
      <c r="B93" s="204"/>
      <c r="C93" s="204"/>
      <c r="D93" s="204"/>
      <c r="E93" s="204"/>
      <c r="F93" s="204"/>
      <c r="G93" s="204"/>
    </row>
    <row r="94" spans="1:7" ht="12.75">
      <c r="A94" s="251"/>
      <c r="B94" s="204"/>
      <c r="C94" s="204"/>
      <c r="D94" s="204"/>
      <c r="E94" s="204"/>
      <c r="F94" s="204"/>
      <c r="G94" s="204"/>
    </row>
    <row r="95" spans="1:7" ht="12.75">
      <c r="A95" s="251"/>
      <c r="B95" s="204"/>
      <c r="C95" s="204"/>
      <c r="D95" s="204"/>
      <c r="E95" s="204"/>
      <c r="F95" s="204"/>
      <c r="G95" s="204"/>
    </row>
    <row r="96" spans="1:7" ht="12.75">
      <c r="A96" s="251"/>
      <c r="B96" s="204"/>
      <c r="C96" s="204"/>
      <c r="D96" s="204"/>
      <c r="E96" s="204"/>
      <c r="F96" s="204"/>
      <c r="G96" s="204"/>
    </row>
    <row r="97" spans="1:7" ht="12.75">
      <c r="A97" s="251"/>
      <c r="B97" s="204"/>
      <c r="C97" s="204"/>
      <c r="D97" s="204"/>
      <c r="E97" s="204"/>
      <c r="F97" s="204"/>
      <c r="G97" s="204"/>
    </row>
    <row r="98" spans="1:7" ht="12.75">
      <c r="A98" s="251"/>
      <c r="B98" s="204"/>
      <c r="C98" s="204"/>
      <c r="D98" s="204"/>
      <c r="E98" s="204"/>
      <c r="F98" s="204"/>
      <c r="G98" s="204"/>
    </row>
    <row r="99" spans="1:7" ht="12.75">
      <c r="A99" s="251"/>
      <c r="B99" s="204"/>
      <c r="C99" s="204"/>
      <c r="D99" s="204"/>
      <c r="E99" s="204"/>
      <c r="F99" s="204"/>
      <c r="G99" s="204"/>
    </row>
    <row r="100" spans="1:7" ht="12.75">
      <c r="A100" s="251"/>
      <c r="B100" s="204"/>
      <c r="C100" s="204"/>
      <c r="D100" s="204"/>
      <c r="E100" s="204"/>
      <c r="F100" s="204"/>
      <c r="G100" s="204"/>
    </row>
    <row r="101" spans="1:7" ht="12.75">
      <c r="A101" s="251"/>
      <c r="B101" s="204"/>
      <c r="C101" s="204"/>
      <c r="D101" s="204"/>
      <c r="E101" s="204"/>
      <c r="F101" s="204"/>
      <c r="G101" s="204"/>
    </row>
    <row r="102" spans="1:7" ht="12.75">
      <c r="A102" s="251"/>
      <c r="B102" s="204"/>
      <c r="C102" s="204"/>
      <c r="D102" s="204"/>
      <c r="E102" s="204"/>
      <c r="F102" s="204"/>
      <c r="G102" s="204"/>
    </row>
    <row r="103" spans="1:7" ht="12.75">
      <c r="A103" s="251"/>
      <c r="B103" s="204"/>
      <c r="C103" s="204"/>
      <c r="D103" s="204"/>
      <c r="E103" s="204"/>
      <c r="F103" s="204"/>
      <c r="G103" s="204"/>
    </row>
    <row r="104" spans="1:7" ht="12.75">
      <c r="A104" s="251"/>
      <c r="B104" s="204"/>
      <c r="C104" s="204"/>
      <c r="D104" s="204"/>
      <c r="E104" s="204"/>
      <c r="F104" s="204"/>
      <c r="G104" s="204"/>
    </row>
    <row r="105" spans="1:7" ht="12.75">
      <c r="A105" s="251"/>
      <c r="B105" s="204"/>
      <c r="C105" s="204"/>
      <c r="D105" s="204"/>
      <c r="E105" s="204"/>
      <c r="F105" s="204"/>
      <c r="G105" s="204"/>
    </row>
    <row r="106" spans="1:7" ht="12.75">
      <c r="A106" s="251"/>
      <c r="B106" s="204"/>
      <c r="C106" s="204"/>
      <c r="D106" s="204"/>
      <c r="E106" s="204"/>
      <c r="F106" s="204"/>
      <c r="G106" s="204"/>
    </row>
    <row r="107" spans="1:7" ht="12.75">
      <c r="A107" s="251"/>
      <c r="B107" s="204"/>
      <c r="C107" s="204"/>
      <c r="D107" s="204"/>
      <c r="E107" s="204"/>
      <c r="F107" s="204"/>
      <c r="G107" s="204"/>
    </row>
    <row r="108" spans="1:7" ht="12.75">
      <c r="A108" s="251"/>
      <c r="B108" s="204"/>
      <c r="C108" s="204"/>
      <c r="D108" s="204"/>
      <c r="E108" s="204"/>
      <c r="F108" s="204"/>
      <c r="G108" s="204"/>
    </row>
    <row r="109" spans="1:7" ht="12.75">
      <c r="A109" s="251"/>
      <c r="B109" s="204"/>
      <c r="C109" s="204"/>
      <c r="D109" s="204"/>
      <c r="E109" s="204"/>
      <c r="F109" s="204"/>
      <c r="G109" s="204"/>
    </row>
    <row r="110" spans="1:7" ht="12.75">
      <c r="A110" s="251"/>
      <c r="B110" s="204"/>
      <c r="C110" s="204"/>
      <c r="D110" s="204"/>
      <c r="E110" s="204"/>
      <c r="F110" s="204"/>
      <c r="G110" s="204"/>
    </row>
    <row r="111" spans="1:7" ht="12.75">
      <c r="A111" s="251"/>
      <c r="B111" s="204"/>
      <c r="C111" s="204"/>
      <c r="D111" s="204"/>
      <c r="E111" s="204"/>
      <c r="F111" s="204"/>
      <c r="G111" s="204"/>
    </row>
    <row r="112" spans="1:7" ht="12.75">
      <c r="A112" s="251"/>
      <c r="B112" s="204"/>
      <c r="C112" s="204"/>
      <c r="D112" s="204"/>
      <c r="E112" s="204"/>
      <c r="F112" s="204"/>
      <c r="G112" s="204"/>
    </row>
    <row r="113" spans="1:7" ht="12.75">
      <c r="A113" s="251"/>
      <c r="B113" s="204"/>
      <c r="C113" s="204"/>
      <c r="D113" s="204"/>
      <c r="E113" s="204"/>
      <c r="F113" s="204"/>
      <c r="G113" s="204"/>
    </row>
    <row r="114" spans="1:7" ht="12.75">
      <c r="A114" s="251"/>
      <c r="B114" s="204"/>
      <c r="C114" s="204"/>
      <c r="D114" s="204"/>
      <c r="E114" s="204"/>
      <c r="F114" s="204"/>
      <c r="G114" s="204"/>
    </row>
    <row r="115" spans="1:7" ht="12.75">
      <c r="A115" s="251"/>
      <c r="B115" s="204"/>
      <c r="C115" s="204"/>
      <c r="D115" s="204"/>
      <c r="E115" s="204"/>
      <c r="F115" s="204"/>
      <c r="G115" s="204"/>
    </row>
    <row r="116" spans="1:7" ht="12.75">
      <c r="A116" s="251"/>
      <c r="B116" s="204"/>
      <c r="C116" s="204"/>
      <c r="D116" s="204"/>
      <c r="E116" s="204"/>
      <c r="F116" s="204"/>
      <c r="G116" s="204"/>
    </row>
    <row r="117" spans="1:7" ht="12.75">
      <c r="A117" s="251"/>
      <c r="B117" s="204"/>
      <c r="C117" s="204"/>
      <c r="D117" s="204"/>
      <c r="E117" s="204"/>
      <c r="F117" s="204"/>
      <c r="G117" s="204"/>
    </row>
    <row r="118" spans="1:7" ht="12.75">
      <c r="A118" s="251"/>
      <c r="B118" s="204"/>
      <c r="C118" s="204"/>
      <c r="D118" s="204"/>
      <c r="E118" s="204"/>
      <c r="F118" s="204"/>
      <c r="G118" s="204"/>
    </row>
    <row r="119" spans="1:7" ht="12.75">
      <c r="A119" s="251"/>
      <c r="B119" s="204"/>
      <c r="C119" s="204"/>
      <c r="D119" s="204"/>
      <c r="E119" s="204"/>
      <c r="F119" s="204"/>
      <c r="G119" s="204"/>
    </row>
    <row r="120" spans="1:7" ht="12.75">
      <c r="A120" s="251"/>
      <c r="B120" s="204"/>
      <c r="C120" s="204"/>
      <c r="D120" s="204"/>
      <c r="E120" s="204"/>
      <c r="F120" s="204"/>
      <c r="G120" s="204"/>
    </row>
    <row r="121" spans="1:7" ht="12.75">
      <c r="A121" s="251"/>
      <c r="B121" s="204"/>
      <c r="C121" s="204"/>
      <c r="D121" s="204"/>
      <c r="E121" s="204"/>
      <c r="F121" s="204"/>
      <c r="G121" s="204"/>
    </row>
    <row r="122" spans="1:7" ht="12.75">
      <c r="A122" s="251"/>
      <c r="B122" s="204"/>
      <c r="C122" s="204"/>
      <c r="D122" s="204"/>
      <c r="E122" s="204"/>
      <c r="F122" s="204"/>
      <c r="G122" s="204"/>
    </row>
    <row r="123" spans="1:7" ht="12.75">
      <c r="A123" s="251"/>
      <c r="B123" s="204"/>
      <c r="C123" s="204"/>
      <c r="D123" s="204"/>
      <c r="E123" s="204"/>
      <c r="F123" s="204"/>
      <c r="G123" s="204"/>
    </row>
    <row r="124" spans="1:7" ht="12.75">
      <c r="A124" s="251"/>
      <c r="B124" s="204"/>
      <c r="C124" s="204"/>
      <c r="D124" s="204"/>
      <c r="E124" s="204"/>
      <c r="F124" s="204"/>
      <c r="G124" s="204"/>
    </row>
    <row r="125" spans="1:7" ht="12.75">
      <c r="A125" s="251"/>
      <c r="B125" s="204"/>
      <c r="C125" s="204"/>
      <c r="D125" s="204"/>
      <c r="E125" s="204"/>
      <c r="F125" s="204"/>
      <c r="G125" s="204"/>
    </row>
    <row r="126" spans="1:7" ht="12.75">
      <c r="A126" s="251"/>
      <c r="B126" s="204"/>
      <c r="C126" s="204"/>
      <c r="D126" s="204"/>
      <c r="E126" s="204"/>
      <c r="F126" s="204"/>
      <c r="G126" s="204"/>
    </row>
    <row r="127" spans="1:7" ht="12.75">
      <c r="A127" s="251"/>
      <c r="B127" s="204"/>
      <c r="C127" s="204"/>
      <c r="D127" s="204"/>
      <c r="E127" s="204"/>
      <c r="F127" s="204"/>
      <c r="G127" s="204"/>
    </row>
    <row r="128" spans="1:7" ht="12.75">
      <c r="A128" s="251"/>
      <c r="B128" s="204"/>
      <c r="C128" s="204"/>
      <c r="D128" s="204"/>
      <c r="E128" s="204"/>
      <c r="F128" s="204"/>
      <c r="G128" s="204"/>
    </row>
    <row r="129" spans="1:7" ht="12.75">
      <c r="A129" s="251"/>
      <c r="B129" s="204"/>
      <c r="C129" s="204"/>
      <c r="D129" s="204"/>
      <c r="E129" s="204"/>
      <c r="F129" s="204"/>
      <c r="G129" s="204"/>
    </row>
    <row r="130" spans="1:7" ht="12.75">
      <c r="A130" s="251"/>
      <c r="B130" s="204"/>
      <c r="C130" s="204"/>
      <c r="D130" s="204"/>
      <c r="E130" s="204"/>
      <c r="F130" s="204"/>
      <c r="G130" s="204"/>
    </row>
    <row r="131" spans="1:7" ht="12.75">
      <c r="A131" s="251"/>
      <c r="B131" s="204"/>
      <c r="C131" s="204"/>
      <c r="D131" s="204"/>
      <c r="E131" s="204"/>
      <c r="F131" s="204"/>
      <c r="G131" s="204"/>
    </row>
    <row r="132" spans="1:7" ht="12.75">
      <c r="A132" s="251"/>
      <c r="B132" s="204"/>
      <c r="C132" s="204"/>
      <c r="D132" s="204"/>
      <c r="E132" s="204"/>
      <c r="F132" s="204"/>
      <c r="G132" s="204"/>
    </row>
    <row r="133" spans="1:7" ht="12.75">
      <c r="A133" s="251"/>
      <c r="B133" s="204"/>
      <c r="C133" s="204"/>
      <c r="D133" s="204"/>
      <c r="E133" s="204"/>
      <c r="F133" s="204"/>
      <c r="G133" s="204"/>
    </row>
    <row r="134" spans="1:7" ht="12.75">
      <c r="A134" s="251"/>
      <c r="B134" s="204"/>
      <c r="C134" s="204"/>
      <c r="D134" s="204"/>
      <c r="E134" s="204"/>
      <c r="F134" s="204"/>
      <c r="G134" s="204"/>
    </row>
    <row r="135" spans="1:7" ht="12.75">
      <c r="A135" s="251"/>
      <c r="B135" s="204"/>
      <c r="C135" s="204"/>
      <c r="D135" s="204"/>
      <c r="E135" s="204"/>
      <c r="F135" s="204"/>
      <c r="G135" s="204"/>
    </row>
    <row r="136" spans="1:7" ht="12.75">
      <c r="A136" s="251"/>
      <c r="B136" s="204"/>
      <c r="C136" s="204"/>
      <c r="D136" s="204"/>
      <c r="E136" s="204"/>
      <c r="F136" s="204"/>
      <c r="G136" s="204"/>
    </row>
    <row r="137" spans="1:7" ht="12.75">
      <c r="A137" s="251"/>
      <c r="B137" s="204"/>
      <c r="C137" s="204"/>
      <c r="D137" s="204"/>
      <c r="E137" s="204"/>
      <c r="F137" s="204"/>
      <c r="G137" s="204"/>
    </row>
    <row r="138" spans="1:7" ht="12.75">
      <c r="A138" s="251"/>
      <c r="B138" s="204"/>
      <c r="C138" s="204"/>
      <c r="D138" s="204"/>
      <c r="E138" s="204"/>
      <c r="F138" s="204"/>
      <c r="G138" s="204"/>
    </row>
    <row r="139" spans="1:7" ht="12.75">
      <c r="A139" s="251"/>
      <c r="B139" s="204"/>
      <c r="C139" s="204"/>
      <c r="D139" s="204"/>
      <c r="E139" s="204"/>
      <c r="F139" s="204"/>
      <c r="G139" s="204"/>
    </row>
    <row r="140" spans="1:7" ht="12.75">
      <c r="A140" s="251"/>
      <c r="B140" s="204"/>
      <c r="C140" s="204"/>
      <c r="D140" s="204"/>
      <c r="E140" s="204"/>
      <c r="F140" s="204"/>
      <c r="G140" s="204"/>
    </row>
    <row r="141" spans="1:7" ht="12.75">
      <c r="A141" s="251"/>
      <c r="B141" s="204"/>
      <c r="C141" s="204"/>
      <c r="D141" s="204"/>
      <c r="E141" s="204"/>
      <c r="F141" s="204"/>
      <c r="G141" s="204"/>
    </row>
    <row r="142" spans="1:7" ht="12.75">
      <c r="A142" s="251"/>
      <c r="B142" s="204"/>
      <c r="C142" s="204"/>
      <c r="D142" s="204"/>
      <c r="E142" s="204"/>
      <c r="F142" s="204"/>
      <c r="G142" s="204"/>
    </row>
    <row r="143" spans="1:7" ht="12.75">
      <c r="A143" s="251"/>
      <c r="B143" s="204"/>
      <c r="C143" s="204"/>
      <c r="D143" s="204"/>
      <c r="E143" s="204"/>
      <c r="F143" s="204"/>
      <c r="G143" s="204"/>
    </row>
    <row r="144" spans="1:7" ht="12.75">
      <c r="A144" s="251"/>
      <c r="B144" s="204"/>
      <c r="C144" s="204"/>
      <c r="D144" s="204"/>
      <c r="E144" s="204"/>
      <c r="F144" s="204"/>
      <c r="G144" s="204"/>
    </row>
    <row r="145" spans="1:7" ht="12.75">
      <c r="A145" s="251"/>
      <c r="B145" s="204"/>
      <c r="C145" s="204"/>
      <c r="D145" s="204"/>
      <c r="E145" s="204"/>
      <c r="F145" s="204"/>
      <c r="G145" s="204"/>
    </row>
    <row r="146" spans="1:7" ht="12.75">
      <c r="A146" s="251"/>
      <c r="B146" s="204"/>
      <c r="C146" s="204"/>
      <c r="D146" s="204"/>
      <c r="E146" s="204"/>
      <c r="F146" s="204"/>
      <c r="G146" s="204"/>
    </row>
    <row r="147" spans="1:7" ht="12.75">
      <c r="A147" s="251"/>
      <c r="B147" s="204"/>
      <c r="C147" s="204"/>
      <c r="D147" s="204"/>
      <c r="E147" s="204"/>
      <c r="F147" s="204"/>
      <c r="G147" s="204"/>
    </row>
    <row r="148" spans="1:7" ht="12.75">
      <c r="A148" s="251"/>
      <c r="B148" s="204"/>
      <c r="C148" s="204"/>
      <c r="D148" s="204"/>
      <c r="E148" s="204"/>
      <c r="F148" s="204"/>
      <c r="G148" s="204"/>
    </row>
    <row r="149" spans="1:7" ht="12.75">
      <c r="A149" s="251"/>
      <c r="B149" s="204"/>
      <c r="C149" s="204"/>
      <c r="D149" s="204"/>
      <c r="E149" s="204"/>
      <c r="F149" s="204"/>
      <c r="G149" s="204"/>
    </row>
    <row r="150" spans="1:7" ht="12.75">
      <c r="A150" s="251"/>
      <c r="B150" s="204"/>
      <c r="C150" s="204"/>
      <c r="D150" s="204"/>
      <c r="E150" s="204"/>
      <c r="F150" s="204"/>
      <c r="G150" s="204"/>
    </row>
    <row r="151" spans="1:7" ht="12.75">
      <c r="A151" s="251"/>
      <c r="B151" s="204"/>
      <c r="C151" s="204"/>
      <c r="D151" s="204"/>
      <c r="E151" s="204"/>
      <c r="F151" s="204"/>
      <c r="G151" s="204"/>
    </row>
    <row r="152" spans="1:7" ht="12.75">
      <c r="A152" s="251"/>
      <c r="B152" s="204"/>
      <c r="C152" s="204"/>
      <c r="D152" s="204"/>
      <c r="E152" s="204"/>
      <c r="F152" s="204"/>
      <c r="G152" s="204"/>
    </row>
    <row r="153" spans="1:7" ht="12.75">
      <c r="A153" s="251"/>
      <c r="B153" s="204"/>
      <c r="C153" s="204"/>
      <c r="D153" s="204"/>
      <c r="E153" s="204"/>
      <c r="F153" s="204"/>
      <c r="G153" s="204"/>
    </row>
    <row r="154" spans="1:7" ht="12.75">
      <c r="A154" s="251"/>
      <c r="B154" s="204"/>
      <c r="C154" s="204"/>
      <c r="D154" s="204"/>
      <c r="E154" s="204"/>
      <c r="F154" s="204"/>
      <c r="G154" s="204"/>
    </row>
    <row r="155" spans="1:7" ht="12.75">
      <c r="A155" s="251"/>
      <c r="B155" s="204"/>
      <c r="C155" s="204"/>
      <c r="D155" s="204"/>
      <c r="E155" s="204"/>
      <c r="F155" s="204"/>
      <c r="G155" s="204"/>
    </row>
    <row r="156" spans="1:7" ht="12.75">
      <c r="A156" s="251"/>
      <c r="B156" s="204"/>
      <c r="C156" s="204"/>
      <c r="D156" s="204"/>
      <c r="E156" s="204"/>
      <c r="F156" s="204"/>
      <c r="G156" s="204"/>
    </row>
    <row r="157" spans="1:7" ht="12.75">
      <c r="A157" s="251"/>
      <c r="B157" s="204"/>
      <c r="C157" s="204"/>
      <c r="D157" s="204"/>
      <c r="E157" s="204"/>
      <c r="F157" s="204"/>
      <c r="G157" s="204"/>
    </row>
    <row r="158" spans="1:7" ht="12.75">
      <c r="A158" s="251"/>
      <c r="B158" s="204"/>
      <c r="C158" s="204"/>
      <c r="D158" s="204"/>
      <c r="E158" s="204"/>
      <c r="F158" s="204"/>
      <c r="G158" s="204"/>
    </row>
    <row r="159" spans="1:7" ht="12.75">
      <c r="A159" s="251"/>
      <c r="B159" s="204"/>
      <c r="C159" s="204"/>
      <c r="D159" s="204"/>
      <c r="E159" s="204"/>
      <c r="F159" s="204"/>
      <c r="G159" s="204"/>
    </row>
    <row r="160" spans="1:7" ht="12.75">
      <c r="A160" s="251"/>
      <c r="B160" s="204"/>
      <c r="C160" s="204"/>
      <c r="D160" s="204"/>
      <c r="E160" s="204"/>
      <c r="F160" s="204"/>
      <c r="G160" s="204"/>
    </row>
    <row r="161" spans="1:7" ht="12.75">
      <c r="A161" s="251"/>
      <c r="B161" s="204"/>
      <c r="C161" s="204"/>
      <c r="D161" s="204"/>
      <c r="E161" s="204"/>
      <c r="F161" s="204"/>
      <c r="G161" s="204"/>
    </row>
    <row r="162" spans="1:7" ht="12.75">
      <c r="A162" s="251"/>
      <c r="B162" s="204"/>
      <c r="C162" s="204"/>
      <c r="D162" s="204"/>
      <c r="E162" s="204"/>
      <c r="F162" s="204"/>
      <c r="G162" s="204"/>
    </row>
    <row r="163" spans="1:7" ht="12.75">
      <c r="A163" s="251"/>
      <c r="B163" s="204"/>
      <c r="C163" s="204"/>
      <c r="D163" s="204"/>
      <c r="E163" s="204"/>
      <c r="F163" s="204"/>
      <c r="G163" s="204"/>
    </row>
    <row r="164" spans="1:7" ht="12.75">
      <c r="A164" s="251"/>
      <c r="B164" s="204"/>
      <c r="C164" s="204"/>
      <c r="D164" s="204"/>
      <c r="E164" s="204"/>
      <c r="F164" s="204"/>
      <c r="G164" s="204"/>
    </row>
    <row r="165" spans="1:7" ht="12.75">
      <c r="A165" s="251"/>
      <c r="B165" s="204"/>
      <c r="C165" s="204"/>
      <c r="D165" s="204"/>
      <c r="E165" s="204"/>
      <c r="F165" s="204"/>
      <c r="G165" s="204"/>
    </row>
    <row r="166" spans="1:7" ht="12.75">
      <c r="A166" s="251"/>
      <c r="B166" s="204"/>
      <c r="C166" s="204"/>
      <c r="D166" s="204"/>
      <c r="E166" s="204"/>
      <c r="F166" s="204"/>
      <c r="G166" s="204"/>
    </row>
    <row r="167" spans="1:7" ht="12.75">
      <c r="A167" s="251"/>
      <c r="B167" s="204"/>
      <c r="C167" s="204"/>
      <c r="D167" s="204"/>
      <c r="E167" s="204"/>
      <c r="F167" s="204"/>
      <c r="G167" s="204"/>
    </row>
    <row r="168" spans="1:7" ht="12.75">
      <c r="A168" s="251"/>
      <c r="B168" s="204"/>
      <c r="C168" s="204"/>
      <c r="D168" s="204"/>
      <c r="E168" s="204"/>
      <c r="F168" s="204"/>
      <c r="G168" s="204"/>
    </row>
    <row r="169" spans="1:7" ht="12.75">
      <c r="A169" s="251"/>
      <c r="B169" s="204"/>
      <c r="C169" s="204"/>
      <c r="D169" s="204"/>
      <c r="E169" s="204"/>
      <c r="F169" s="204"/>
      <c r="G169" s="204"/>
    </row>
    <row r="170" spans="1:7" ht="12.75">
      <c r="A170" s="251"/>
      <c r="B170" s="204"/>
      <c r="C170" s="204"/>
      <c r="D170" s="204"/>
      <c r="E170" s="204"/>
      <c r="F170" s="204"/>
      <c r="G170" s="204"/>
    </row>
    <row r="171" spans="1:7" ht="12.75">
      <c r="A171" s="251"/>
      <c r="B171" s="204"/>
      <c r="C171" s="204"/>
      <c r="D171" s="204"/>
      <c r="E171" s="204"/>
      <c r="F171" s="204"/>
      <c r="G171" s="204"/>
    </row>
    <row r="172" spans="1:7" ht="12.75">
      <c r="A172" s="251"/>
      <c r="B172" s="204"/>
      <c r="C172" s="204"/>
      <c r="D172" s="204"/>
      <c r="E172" s="204"/>
      <c r="F172" s="204"/>
      <c r="G172" s="204"/>
    </row>
    <row r="173" spans="1:7" ht="12.75">
      <c r="A173" s="251"/>
      <c r="B173" s="204"/>
      <c r="C173" s="204"/>
      <c r="D173" s="204"/>
      <c r="E173" s="204"/>
      <c r="F173" s="204"/>
      <c r="G173" s="204"/>
    </row>
    <row r="174" spans="1:7" ht="12.75">
      <c r="A174" s="251"/>
      <c r="B174" s="204"/>
      <c r="C174" s="204"/>
      <c r="D174" s="204"/>
      <c r="E174" s="204"/>
      <c r="F174" s="204"/>
      <c r="G174" s="204"/>
    </row>
    <row r="175" spans="1:7" ht="12.75">
      <c r="A175" s="251"/>
      <c r="B175" s="204"/>
      <c r="C175" s="204"/>
      <c r="D175" s="204"/>
      <c r="E175" s="204"/>
      <c r="F175" s="204"/>
      <c r="G175" s="204"/>
    </row>
    <row r="176" spans="1:7" ht="12.75">
      <c r="A176" s="251"/>
      <c r="B176" s="204"/>
      <c r="C176" s="204"/>
      <c r="D176" s="204"/>
      <c r="E176" s="204"/>
      <c r="F176" s="204"/>
      <c r="G176" s="204"/>
    </row>
    <row r="177" spans="1:7" ht="12.75">
      <c r="A177" s="251"/>
      <c r="B177" s="204"/>
      <c r="C177" s="204"/>
      <c r="D177" s="204"/>
      <c r="E177" s="204"/>
      <c r="F177" s="204"/>
      <c r="G177" s="204"/>
    </row>
    <row r="178" spans="1:7" ht="12.75">
      <c r="A178" s="251"/>
      <c r="B178" s="204"/>
      <c r="C178" s="204"/>
      <c r="D178" s="204"/>
      <c r="E178" s="204"/>
      <c r="F178" s="204"/>
      <c r="G178" s="204"/>
    </row>
    <row r="179" spans="1:7" ht="12.75">
      <c r="A179" s="251"/>
      <c r="B179" s="204"/>
      <c r="C179" s="204"/>
      <c r="D179" s="204"/>
      <c r="E179" s="204"/>
      <c r="F179" s="204"/>
      <c r="G179" s="204"/>
    </row>
    <row r="180" spans="1:7" ht="12.75">
      <c r="A180" s="251"/>
      <c r="B180" s="204"/>
      <c r="C180" s="204"/>
      <c r="D180" s="204"/>
      <c r="E180" s="204"/>
      <c r="F180" s="204"/>
      <c r="G180" s="204"/>
    </row>
    <row r="181" spans="1:7" ht="12.75">
      <c r="A181" s="251"/>
      <c r="B181" s="204"/>
      <c r="C181" s="204"/>
      <c r="D181" s="204"/>
      <c r="E181" s="204"/>
      <c r="F181" s="204"/>
      <c r="G181" s="204"/>
    </row>
    <row r="182" spans="1:7" ht="12.75">
      <c r="A182" s="251"/>
      <c r="B182" s="204"/>
      <c r="C182" s="204"/>
      <c r="D182" s="204"/>
      <c r="E182" s="204"/>
      <c r="F182" s="204"/>
      <c r="G182" s="204"/>
    </row>
    <row r="183" spans="1:7" ht="12.75">
      <c r="A183" s="251"/>
      <c r="B183" s="204"/>
      <c r="C183" s="204"/>
      <c r="D183" s="204"/>
      <c r="E183" s="204"/>
      <c r="F183" s="204"/>
      <c r="G183" s="204"/>
    </row>
    <row r="184" spans="1:7" ht="12.75">
      <c r="A184" s="251"/>
      <c r="B184" s="204"/>
      <c r="C184" s="204"/>
      <c r="D184" s="204"/>
      <c r="E184" s="204"/>
      <c r="F184" s="204"/>
      <c r="G184" s="204"/>
    </row>
    <row r="185" spans="1:7" ht="12.75">
      <c r="A185" s="251"/>
      <c r="B185" s="204"/>
      <c r="C185" s="204"/>
      <c r="D185" s="204"/>
      <c r="E185" s="204"/>
      <c r="F185" s="204"/>
      <c r="G185" s="204"/>
    </row>
    <row r="186" spans="1:7" ht="12.75">
      <c r="A186" s="251"/>
      <c r="B186" s="204"/>
      <c r="C186" s="204"/>
      <c r="D186" s="204"/>
      <c r="E186" s="204"/>
      <c r="F186" s="204"/>
      <c r="G186" s="204"/>
    </row>
    <row r="187" spans="1:7" ht="12.75">
      <c r="A187" s="251"/>
      <c r="B187" s="204"/>
      <c r="C187" s="204"/>
      <c r="D187" s="204"/>
      <c r="E187" s="204"/>
      <c r="F187" s="204"/>
      <c r="G187" s="204"/>
    </row>
    <row r="188" spans="1:7" ht="12.75">
      <c r="A188" s="251"/>
      <c r="B188" s="204"/>
      <c r="C188" s="204"/>
      <c r="D188" s="204"/>
      <c r="E188" s="204"/>
      <c r="F188" s="204"/>
      <c r="G188" s="204"/>
    </row>
    <row r="189" spans="1:7" ht="12.75">
      <c r="A189" s="251"/>
      <c r="B189" s="204"/>
      <c r="C189" s="204"/>
      <c r="D189" s="204"/>
      <c r="E189" s="204"/>
      <c r="F189" s="204"/>
      <c r="G189" s="204"/>
    </row>
    <row r="190" spans="1:7" ht="12.75">
      <c r="A190" s="251"/>
      <c r="B190" s="204"/>
      <c r="C190" s="204"/>
      <c r="D190" s="204"/>
      <c r="E190" s="204"/>
      <c r="F190" s="204"/>
      <c r="G190" s="204"/>
    </row>
    <row r="191" spans="1:7" ht="12.75">
      <c r="A191" s="251"/>
      <c r="B191" s="204"/>
      <c r="C191" s="204"/>
      <c r="D191" s="204"/>
      <c r="E191" s="204"/>
      <c r="F191" s="204"/>
      <c r="G191" s="204"/>
    </row>
    <row r="192" spans="1:7" ht="12.75">
      <c r="A192" s="251"/>
      <c r="B192" s="204"/>
      <c r="C192" s="204"/>
      <c r="D192" s="204"/>
      <c r="E192" s="204"/>
      <c r="F192" s="204"/>
      <c r="G192" s="204"/>
    </row>
    <row r="193" spans="1:7" ht="12.75">
      <c r="A193" s="251"/>
      <c r="B193" s="204"/>
      <c r="C193" s="204"/>
      <c r="D193" s="204"/>
      <c r="E193" s="204"/>
      <c r="F193" s="204"/>
      <c r="G193" s="204"/>
    </row>
    <row r="194" spans="1:7" ht="12.75">
      <c r="A194" s="251"/>
      <c r="B194" s="204"/>
      <c r="C194" s="204"/>
      <c r="D194" s="204"/>
      <c r="E194" s="204"/>
      <c r="F194" s="204"/>
      <c r="G194" s="204"/>
    </row>
    <row r="195" spans="1:7" ht="12.75">
      <c r="A195" s="251"/>
      <c r="B195" s="204"/>
      <c r="C195" s="204"/>
      <c r="D195" s="204"/>
      <c r="E195" s="204"/>
      <c r="F195" s="204"/>
      <c r="G195" s="204"/>
    </row>
    <row r="196" spans="1:7" ht="12.75">
      <c r="A196" s="251"/>
      <c r="B196" s="204"/>
      <c r="C196" s="204"/>
      <c r="D196" s="204"/>
      <c r="E196" s="204"/>
      <c r="F196" s="204"/>
      <c r="G196" s="204"/>
    </row>
    <row r="197" spans="1:7" ht="12.75">
      <c r="A197" s="251"/>
      <c r="B197" s="204"/>
      <c r="C197" s="204"/>
      <c r="D197" s="204"/>
      <c r="E197" s="204"/>
      <c r="F197" s="204"/>
      <c r="G197" s="204"/>
    </row>
    <row r="198" spans="1:7" ht="12.75">
      <c r="A198" s="251"/>
      <c r="B198" s="204"/>
      <c r="C198" s="204"/>
      <c r="D198" s="204"/>
      <c r="E198" s="204"/>
      <c r="F198" s="204"/>
      <c r="G198" s="204"/>
    </row>
    <row r="199" spans="1:7" ht="12.75">
      <c r="A199" s="251"/>
      <c r="B199" s="204"/>
      <c r="C199" s="204"/>
      <c r="D199" s="204"/>
      <c r="E199" s="204"/>
      <c r="F199" s="204"/>
      <c r="G199" s="204"/>
    </row>
    <row r="200" spans="1:7" ht="12.75">
      <c r="A200" s="251"/>
      <c r="B200" s="204"/>
      <c r="C200" s="204"/>
      <c r="D200" s="204"/>
      <c r="E200" s="204"/>
      <c r="F200" s="204"/>
      <c r="G200" s="204"/>
    </row>
    <row r="201" spans="1:7" ht="12.75">
      <c r="A201" s="251"/>
      <c r="B201" s="204"/>
      <c r="C201" s="204"/>
      <c r="D201" s="204"/>
      <c r="E201" s="204"/>
      <c r="F201" s="204"/>
      <c r="G201" s="204"/>
    </row>
    <row r="202" spans="1:7" ht="12.75">
      <c r="A202" s="251"/>
      <c r="B202" s="204"/>
      <c r="C202" s="204"/>
      <c r="D202" s="204"/>
      <c r="E202" s="204"/>
      <c r="F202" s="204"/>
      <c r="G202" s="204"/>
    </row>
    <row r="203" spans="1:7" ht="12.75">
      <c r="A203" s="251"/>
      <c r="B203" s="204"/>
      <c r="C203" s="204"/>
      <c r="D203" s="204"/>
      <c r="E203" s="204"/>
      <c r="F203" s="204"/>
      <c r="G203" s="204"/>
    </row>
    <row r="204" spans="1:7" ht="12.75">
      <c r="A204" s="251"/>
      <c r="B204" s="204"/>
      <c r="C204" s="204"/>
      <c r="D204" s="204"/>
      <c r="E204" s="204"/>
      <c r="F204" s="204"/>
      <c r="G204" s="204"/>
    </row>
    <row r="205" spans="1:7" ht="12.75">
      <c r="A205" s="251"/>
      <c r="B205" s="204"/>
      <c r="C205" s="204"/>
      <c r="D205" s="204"/>
      <c r="E205" s="204"/>
      <c r="F205" s="204"/>
      <c r="G205" s="204"/>
    </row>
    <row r="206" spans="1:7" ht="12.75">
      <c r="A206" s="251"/>
      <c r="B206" s="204"/>
      <c r="C206" s="204"/>
      <c r="D206" s="204"/>
      <c r="E206" s="204"/>
      <c r="F206" s="204"/>
      <c r="G206" s="204"/>
    </row>
    <row r="207" spans="1:7" ht="12.75">
      <c r="A207" s="251"/>
      <c r="B207" s="204"/>
      <c r="C207" s="204"/>
      <c r="D207" s="204"/>
      <c r="E207" s="204"/>
      <c r="F207" s="204"/>
      <c r="G207" s="204"/>
    </row>
    <row r="208" spans="1:7" ht="12.75">
      <c r="A208" s="251"/>
      <c r="B208" s="204"/>
      <c r="C208" s="204"/>
      <c r="D208" s="204"/>
      <c r="E208" s="204"/>
      <c r="F208" s="204"/>
      <c r="G208" s="204"/>
    </row>
    <row r="209" spans="1:7" ht="12.75">
      <c r="A209" s="251"/>
      <c r="B209" s="204"/>
      <c r="C209" s="204"/>
      <c r="D209" s="204"/>
      <c r="E209" s="204"/>
      <c r="F209" s="204"/>
      <c r="G209" s="204"/>
    </row>
    <row r="210" spans="1:7" ht="12.75">
      <c r="A210" s="251"/>
      <c r="B210" s="204"/>
      <c r="C210" s="204"/>
      <c r="D210" s="204"/>
      <c r="E210" s="204"/>
      <c r="F210" s="204"/>
      <c r="G210" s="204"/>
    </row>
    <row r="211" spans="1:7" ht="12.75">
      <c r="A211" s="251"/>
      <c r="B211" s="204"/>
      <c r="C211" s="204"/>
      <c r="D211" s="204"/>
      <c r="E211" s="204"/>
      <c r="F211" s="204"/>
      <c r="G211" s="204"/>
    </row>
    <row r="212" spans="1:7" ht="12.75">
      <c r="A212" s="251"/>
      <c r="B212" s="204"/>
      <c r="C212" s="204"/>
      <c r="D212" s="204"/>
      <c r="E212" s="204"/>
      <c r="F212" s="204"/>
      <c r="G212" s="204"/>
    </row>
    <row r="213" spans="1:7" ht="12.75">
      <c r="A213" s="251"/>
      <c r="B213" s="204"/>
      <c r="C213" s="204"/>
      <c r="D213" s="204"/>
      <c r="E213" s="204"/>
      <c r="F213" s="204"/>
      <c r="G213" s="204"/>
    </row>
    <row r="214" spans="1:7" ht="12.75">
      <c r="A214" s="251"/>
      <c r="B214" s="204"/>
      <c r="C214" s="204"/>
      <c r="D214" s="204"/>
      <c r="E214" s="204"/>
      <c r="F214" s="204"/>
      <c r="G214" s="204"/>
    </row>
    <row r="215" spans="1:7" ht="12.75">
      <c r="A215" s="251"/>
      <c r="B215" s="204"/>
      <c r="C215" s="204"/>
      <c r="D215" s="204"/>
      <c r="E215" s="204"/>
      <c r="F215" s="204"/>
      <c r="G215" s="204"/>
    </row>
    <row r="216" spans="1:7" ht="12.75">
      <c r="A216" s="251"/>
      <c r="B216" s="204"/>
      <c r="C216" s="204"/>
      <c r="D216" s="204"/>
      <c r="E216" s="204"/>
      <c r="F216" s="204"/>
      <c r="G216" s="204"/>
    </row>
    <row r="217" spans="1:7" ht="12.75">
      <c r="A217" s="251"/>
      <c r="B217" s="204"/>
      <c r="C217" s="204"/>
      <c r="D217" s="204"/>
      <c r="E217" s="204"/>
      <c r="F217" s="204"/>
      <c r="G217" s="204"/>
    </row>
    <row r="218" spans="1:7" ht="12.75">
      <c r="A218" s="251"/>
      <c r="B218" s="204"/>
      <c r="C218" s="204"/>
      <c r="D218" s="204"/>
      <c r="E218" s="204"/>
      <c r="F218" s="204"/>
      <c r="G218" s="204"/>
    </row>
    <row r="219" spans="1:7" ht="12.75">
      <c r="A219" s="251"/>
      <c r="B219" s="204"/>
      <c r="C219" s="204"/>
      <c r="D219" s="204"/>
      <c r="E219" s="204"/>
      <c r="F219" s="204"/>
      <c r="G219" s="204"/>
    </row>
    <row r="220" spans="1:7" ht="12.75">
      <c r="A220" s="251"/>
      <c r="B220" s="204"/>
      <c r="C220" s="204"/>
      <c r="D220" s="204"/>
      <c r="E220" s="204"/>
      <c r="F220" s="204"/>
      <c r="G220" s="204"/>
    </row>
    <row r="221" spans="1:7" ht="12.75">
      <c r="A221" s="251"/>
      <c r="B221" s="204"/>
      <c r="C221" s="204"/>
      <c r="D221" s="204"/>
      <c r="E221" s="204"/>
      <c r="F221" s="204"/>
      <c r="G221" s="204"/>
    </row>
    <row r="222" spans="1:7" ht="12.75">
      <c r="A222" s="251"/>
      <c r="B222" s="204"/>
      <c r="C222" s="204"/>
      <c r="D222" s="204"/>
      <c r="E222" s="204"/>
      <c r="F222" s="204"/>
      <c r="G222" s="204"/>
    </row>
    <row r="223" spans="1:7" ht="12.75">
      <c r="A223" s="251"/>
      <c r="B223" s="204"/>
      <c r="C223" s="204"/>
      <c r="D223" s="204"/>
      <c r="E223" s="204"/>
      <c r="F223" s="204"/>
      <c r="G223" s="204"/>
    </row>
    <row r="224" spans="1:7" ht="12.75">
      <c r="A224" s="251"/>
      <c r="B224" s="204"/>
      <c r="C224" s="204"/>
      <c r="D224" s="204"/>
      <c r="E224" s="204"/>
      <c r="F224" s="204"/>
      <c r="G224" s="204"/>
    </row>
    <row r="225" spans="1:7" ht="12.75">
      <c r="A225" s="251"/>
      <c r="B225" s="204"/>
      <c r="C225" s="204"/>
      <c r="D225" s="204"/>
      <c r="E225" s="204"/>
      <c r="F225" s="204"/>
      <c r="G225" s="204"/>
    </row>
    <row r="226" spans="1:7" ht="12.75">
      <c r="A226" s="251"/>
      <c r="B226" s="204"/>
      <c r="C226" s="204"/>
      <c r="D226" s="204"/>
      <c r="E226" s="204"/>
      <c r="F226" s="204"/>
      <c r="G226" s="204"/>
    </row>
    <row r="227" spans="1:7" ht="12.75">
      <c r="A227" s="251"/>
      <c r="B227" s="204"/>
      <c r="C227" s="204"/>
      <c r="D227" s="204"/>
      <c r="E227" s="204"/>
      <c r="F227" s="204"/>
      <c r="G227" s="204"/>
    </row>
    <row r="228" spans="1:7" ht="12.75">
      <c r="A228" s="251"/>
      <c r="B228" s="204"/>
      <c r="C228" s="204"/>
      <c r="D228" s="204"/>
      <c r="E228" s="204"/>
      <c r="F228" s="204"/>
      <c r="G228" s="204"/>
    </row>
    <row r="229" spans="1:7" ht="12.75">
      <c r="A229" s="251"/>
      <c r="B229" s="204"/>
      <c r="C229" s="204"/>
      <c r="D229" s="204"/>
      <c r="E229" s="204"/>
      <c r="F229" s="204"/>
      <c r="G229" s="204"/>
    </row>
    <row r="230" spans="1:7" ht="12.75">
      <c r="A230" s="251"/>
      <c r="B230" s="204"/>
      <c r="C230" s="204"/>
      <c r="D230" s="204"/>
      <c r="E230" s="204"/>
      <c r="F230" s="204"/>
      <c r="G230" s="204"/>
    </row>
    <row r="231" spans="1:7" ht="12.75">
      <c r="A231" s="251"/>
      <c r="B231" s="204"/>
      <c r="C231" s="204"/>
      <c r="D231" s="204"/>
      <c r="E231" s="204"/>
      <c r="F231" s="204"/>
      <c r="G231" s="204"/>
    </row>
    <row r="232" spans="1:7" ht="12.75">
      <c r="A232" s="251"/>
      <c r="B232" s="204"/>
      <c r="C232" s="204"/>
      <c r="D232" s="204"/>
      <c r="E232" s="204"/>
      <c r="F232" s="204"/>
      <c r="G232" s="204"/>
    </row>
    <row r="233" spans="1:7" ht="12.75">
      <c r="A233" s="251"/>
      <c r="B233" s="204"/>
      <c r="C233" s="204"/>
      <c r="D233" s="204"/>
      <c r="E233" s="204"/>
      <c r="F233" s="204"/>
      <c r="G233" s="204"/>
    </row>
    <row r="234" spans="1:7" ht="12.75">
      <c r="A234" s="251"/>
      <c r="B234" s="204"/>
      <c r="C234" s="204"/>
      <c r="D234" s="204"/>
      <c r="E234" s="204"/>
      <c r="F234" s="204"/>
      <c r="G234" s="204"/>
    </row>
    <row r="235" spans="1:7" ht="12.75">
      <c r="A235" s="251"/>
      <c r="B235" s="204"/>
      <c r="C235" s="204"/>
      <c r="D235" s="204"/>
      <c r="E235" s="204"/>
      <c r="F235" s="204"/>
      <c r="G235" s="204"/>
    </row>
    <row r="236" spans="1:7" ht="12.75">
      <c r="A236" s="251"/>
      <c r="B236" s="204"/>
      <c r="C236" s="204"/>
      <c r="D236" s="204"/>
      <c r="E236" s="204"/>
      <c r="F236" s="204"/>
      <c r="G236" s="204"/>
    </row>
    <row r="237" spans="1:7" ht="12.75">
      <c r="A237" s="251"/>
      <c r="B237" s="204"/>
      <c r="C237" s="204"/>
      <c r="D237" s="204"/>
      <c r="E237" s="204"/>
      <c r="F237" s="204"/>
      <c r="G237" s="204"/>
    </row>
    <row r="238" spans="1:7" ht="12.75">
      <c r="A238" s="251"/>
      <c r="B238" s="204"/>
      <c r="C238" s="204"/>
      <c r="D238" s="204"/>
      <c r="E238" s="204"/>
      <c r="F238" s="204"/>
      <c r="G238" s="204"/>
    </row>
    <row r="239" spans="1:7" ht="12.75">
      <c r="A239" s="251"/>
      <c r="B239" s="204"/>
      <c r="C239" s="204"/>
      <c r="D239" s="204"/>
      <c r="E239" s="204"/>
      <c r="F239" s="204"/>
      <c r="G239" s="204"/>
    </row>
    <row r="240" spans="1:7" ht="12.75">
      <c r="A240" s="251"/>
      <c r="B240" s="204"/>
      <c r="C240" s="204"/>
      <c r="D240" s="204"/>
      <c r="E240" s="204"/>
      <c r="F240" s="204"/>
      <c r="G240" s="204"/>
    </row>
    <row r="241" spans="1:7" ht="12.75">
      <c r="A241" s="251"/>
      <c r="B241" s="204"/>
      <c r="C241" s="204"/>
      <c r="D241" s="204"/>
      <c r="E241" s="204"/>
      <c r="F241" s="204"/>
      <c r="G241" s="204"/>
    </row>
    <row r="242" spans="1:7" ht="12.75">
      <c r="A242" s="251"/>
      <c r="B242" s="204"/>
      <c r="C242" s="204"/>
      <c r="D242" s="204"/>
      <c r="E242" s="204"/>
      <c r="F242" s="204"/>
      <c r="G242" s="204"/>
    </row>
    <row r="243" spans="1:7" ht="12.75">
      <c r="A243" s="251"/>
      <c r="B243" s="204"/>
      <c r="C243" s="204"/>
      <c r="D243" s="204"/>
      <c r="E243" s="204"/>
      <c r="F243" s="204"/>
      <c r="G243" s="204"/>
    </row>
    <row r="244" spans="1:7" ht="12.75">
      <c r="A244" s="251"/>
      <c r="B244" s="204"/>
      <c r="C244" s="204"/>
      <c r="D244" s="204"/>
      <c r="E244" s="204"/>
      <c r="F244" s="204"/>
      <c r="G244" s="204"/>
    </row>
    <row r="245" spans="1:7" ht="12.75">
      <c r="A245" s="251"/>
      <c r="B245" s="204"/>
      <c r="C245" s="204"/>
      <c r="D245" s="204"/>
      <c r="E245" s="204"/>
      <c r="F245" s="204"/>
      <c r="G245" s="204"/>
    </row>
    <row r="246" spans="1:7" ht="12.75">
      <c r="A246" s="251"/>
      <c r="B246" s="204"/>
      <c r="C246" s="204"/>
      <c r="D246" s="204"/>
      <c r="E246" s="204"/>
      <c r="F246" s="204"/>
      <c r="G246" s="204"/>
    </row>
    <row r="247" spans="1:7" ht="12.75">
      <c r="A247" s="251"/>
      <c r="B247" s="204"/>
      <c r="C247" s="204"/>
      <c r="D247" s="204"/>
      <c r="E247" s="204"/>
      <c r="F247" s="204"/>
      <c r="G247" s="204"/>
    </row>
    <row r="248" spans="1:7" ht="12.75">
      <c r="A248" s="251"/>
      <c r="B248" s="204"/>
      <c r="C248" s="204"/>
      <c r="D248" s="204"/>
      <c r="E248" s="204"/>
      <c r="F248" s="204"/>
      <c r="G248" s="204"/>
    </row>
    <row r="249" spans="1:7" ht="12.75">
      <c r="A249" s="251"/>
      <c r="B249" s="204"/>
      <c r="C249" s="204"/>
      <c r="D249" s="204"/>
      <c r="E249" s="204"/>
      <c r="F249" s="204"/>
      <c r="G249" s="204"/>
    </row>
    <row r="250" spans="1:7" ht="12.75">
      <c r="A250" s="251"/>
      <c r="B250" s="204"/>
      <c r="C250" s="204"/>
      <c r="D250" s="204"/>
      <c r="E250" s="204"/>
      <c r="F250" s="204"/>
      <c r="G250" s="204"/>
    </row>
    <row r="251" spans="1:7" ht="12.75">
      <c r="A251" s="251"/>
      <c r="B251" s="204"/>
      <c r="C251" s="204"/>
      <c r="D251" s="204"/>
      <c r="E251" s="204"/>
      <c r="F251" s="204"/>
      <c r="G251" s="204"/>
    </row>
    <row r="252" spans="1:7" ht="12.75">
      <c r="A252" s="251"/>
      <c r="B252" s="204"/>
      <c r="C252" s="204"/>
      <c r="D252" s="204"/>
      <c r="E252" s="204"/>
      <c r="F252" s="204"/>
      <c r="G252" s="204"/>
    </row>
    <row r="253" spans="1:7" ht="12.75">
      <c r="A253" s="251"/>
      <c r="B253" s="204"/>
      <c r="C253" s="204"/>
      <c r="D253" s="204"/>
      <c r="E253" s="204"/>
      <c r="F253" s="204"/>
      <c r="G253" s="204"/>
    </row>
    <row r="254" spans="1:7" ht="12.75">
      <c r="A254" s="251"/>
      <c r="B254" s="204"/>
      <c r="C254" s="204"/>
      <c r="D254" s="204"/>
      <c r="E254" s="204"/>
      <c r="F254" s="204"/>
      <c r="G254" s="204"/>
    </row>
    <row r="255" spans="1:7" ht="12.75">
      <c r="A255" s="251"/>
      <c r="B255" s="204"/>
      <c r="C255" s="204"/>
      <c r="D255" s="204"/>
      <c r="E255" s="204"/>
      <c r="F255" s="204"/>
      <c r="G255" s="204"/>
    </row>
    <row r="256" spans="1:7" ht="12.75">
      <c r="A256" s="251"/>
      <c r="B256" s="204"/>
      <c r="C256" s="204"/>
      <c r="D256" s="204"/>
      <c r="E256" s="204"/>
      <c r="F256" s="204"/>
      <c r="G256" s="204"/>
    </row>
    <row r="257" spans="1:7" ht="12.75">
      <c r="A257" s="251"/>
      <c r="B257" s="204"/>
      <c r="C257" s="204"/>
      <c r="D257" s="204"/>
      <c r="E257" s="204"/>
      <c r="F257" s="204"/>
      <c r="G257" s="204"/>
    </row>
    <row r="258" spans="1:7" ht="12.75">
      <c r="A258" s="251"/>
      <c r="B258" s="204"/>
      <c r="C258" s="204"/>
      <c r="D258" s="204"/>
      <c r="E258" s="204"/>
      <c r="F258" s="204"/>
      <c r="G258" s="204"/>
    </row>
    <row r="259" spans="1:7" ht="12.75">
      <c r="A259" s="251"/>
      <c r="B259" s="204"/>
      <c r="C259" s="204"/>
      <c r="D259" s="204"/>
      <c r="E259" s="204"/>
      <c r="F259" s="204"/>
      <c r="G259" s="204"/>
    </row>
    <row r="260" spans="1:7" ht="12.75">
      <c r="A260" s="251"/>
      <c r="B260" s="204"/>
      <c r="C260" s="204"/>
      <c r="D260" s="204"/>
      <c r="E260" s="204"/>
      <c r="F260" s="204"/>
      <c r="G260" s="204"/>
    </row>
    <row r="261" spans="1:7" ht="12.75">
      <c r="A261" s="251"/>
      <c r="B261" s="204"/>
      <c r="C261" s="204"/>
      <c r="D261" s="204"/>
      <c r="E261" s="204"/>
      <c r="F261" s="204"/>
      <c r="G261" s="204"/>
    </row>
    <row r="262" spans="1:7" ht="12.75">
      <c r="A262" s="251"/>
      <c r="B262" s="204"/>
      <c r="C262" s="204"/>
      <c r="D262" s="204"/>
      <c r="E262" s="204"/>
      <c r="F262" s="204"/>
      <c r="G262" s="204"/>
    </row>
    <row r="263" spans="1:7" ht="12.75">
      <c r="A263" s="251"/>
      <c r="B263" s="204"/>
      <c r="C263" s="204"/>
      <c r="D263" s="204"/>
      <c r="E263" s="204"/>
      <c r="F263" s="204"/>
      <c r="G263" s="204"/>
    </row>
    <row r="264" spans="1:7" ht="12.75">
      <c r="A264" s="251"/>
      <c r="B264" s="204"/>
      <c r="C264" s="204"/>
      <c r="D264" s="204"/>
      <c r="E264" s="204"/>
      <c r="F264" s="204"/>
      <c r="G264" s="204"/>
    </row>
    <row r="265" spans="1:7" ht="12.75">
      <c r="A265" s="251"/>
      <c r="B265" s="204"/>
      <c r="C265" s="204"/>
      <c r="D265" s="204"/>
      <c r="E265" s="204"/>
      <c r="F265" s="204"/>
      <c r="G265" s="204"/>
    </row>
    <row r="266" spans="1:7" ht="12.75">
      <c r="A266" s="251"/>
      <c r="B266" s="204"/>
      <c r="C266" s="204"/>
      <c r="D266" s="204"/>
      <c r="E266" s="204"/>
      <c r="F266" s="204"/>
      <c r="G266" s="204"/>
    </row>
    <row r="267" spans="1:7" ht="12.75">
      <c r="A267" s="251"/>
      <c r="B267" s="204"/>
      <c r="C267" s="204"/>
      <c r="D267" s="204"/>
      <c r="E267" s="204"/>
      <c r="F267" s="204"/>
      <c r="G267" s="204"/>
    </row>
    <row r="268" spans="1:7" ht="12.75">
      <c r="A268" s="251"/>
      <c r="B268" s="204"/>
      <c r="C268" s="204"/>
      <c r="D268" s="204"/>
      <c r="E268" s="204"/>
      <c r="F268" s="204"/>
      <c r="G268" s="204"/>
    </row>
    <row r="269" spans="1:7" ht="12.75">
      <c r="A269" s="251"/>
      <c r="B269" s="204"/>
      <c r="C269" s="204"/>
      <c r="D269" s="204"/>
      <c r="E269" s="204"/>
      <c r="F269" s="204"/>
      <c r="G269" s="204"/>
    </row>
    <row r="270" spans="1:7" ht="12.75">
      <c r="A270" s="251"/>
      <c r="B270" s="204"/>
      <c r="C270" s="204"/>
      <c r="D270" s="204"/>
      <c r="E270" s="204"/>
      <c r="F270" s="204"/>
      <c r="G270" s="204"/>
    </row>
    <row r="271" spans="1:7" ht="12.75">
      <c r="A271" s="251"/>
      <c r="B271" s="204"/>
      <c r="C271" s="204"/>
      <c r="D271" s="204"/>
      <c r="E271" s="204"/>
      <c r="F271" s="204"/>
      <c r="G271" s="204"/>
    </row>
    <row r="272" spans="1:7" ht="12.75">
      <c r="A272" s="251"/>
      <c r="B272" s="204"/>
      <c r="C272" s="204"/>
      <c r="D272" s="204"/>
      <c r="E272" s="204"/>
      <c r="F272" s="204"/>
      <c r="G272" s="204"/>
    </row>
    <row r="273" spans="1:7" ht="12.75">
      <c r="A273" s="251"/>
      <c r="B273" s="204"/>
      <c r="C273" s="204"/>
      <c r="D273" s="204"/>
      <c r="E273" s="204"/>
      <c r="F273" s="204"/>
      <c r="G273" s="204"/>
    </row>
    <row r="274" spans="1:7" ht="12.75">
      <c r="A274" s="251"/>
      <c r="B274" s="204"/>
      <c r="C274" s="204"/>
      <c r="D274" s="204"/>
      <c r="E274" s="204"/>
      <c r="F274" s="204"/>
      <c r="G274" s="204"/>
    </row>
    <row r="275" spans="1:7" ht="12.75">
      <c r="A275" s="251"/>
      <c r="B275" s="204"/>
      <c r="C275" s="204"/>
      <c r="D275" s="204"/>
      <c r="E275" s="204"/>
      <c r="F275" s="204"/>
      <c r="G275" s="204"/>
    </row>
    <row r="276" spans="1:7" ht="12.75">
      <c r="A276" s="251"/>
      <c r="B276" s="204"/>
      <c r="C276" s="204"/>
      <c r="D276" s="204"/>
      <c r="E276" s="204"/>
      <c r="F276" s="204"/>
      <c r="G276" s="204"/>
    </row>
    <row r="277" spans="1:7" ht="12.75">
      <c r="A277" s="251"/>
      <c r="B277" s="204"/>
      <c r="C277" s="204"/>
      <c r="D277" s="204"/>
      <c r="E277" s="204"/>
      <c r="F277" s="204"/>
      <c r="G277" s="204"/>
    </row>
    <row r="278" spans="1:7" ht="12.75">
      <c r="A278" s="251"/>
      <c r="B278" s="204"/>
      <c r="C278" s="204"/>
      <c r="D278" s="204"/>
      <c r="E278" s="204"/>
      <c r="F278" s="204"/>
      <c r="G278" s="204"/>
    </row>
    <row r="279" spans="1:7" ht="12.75">
      <c r="A279" s="251"/>
      <c r="B279" s="204"/>
      <c r="C279" s="204"/>
      <c r="D279" s="204"/>
      <c r="E279" s="204"/>
      <c r="F279" s="204"/>
      <c r="G279" s="204"/>
    </row>
    <row r="280" spans="1:7" ht="12.75">
      <c r="A280" s="251"/>
      <c r="B280" s="204"/>
      <c r="C280" s="204"/>
      <c r="D280" s="204"/>
      <c r="E280" s="204"/>
      <c r="F280" s="204"/>
      <c r="G280" s="204"/>
    </row>
    <row r="281" spans="1:7" ht="12.75">
      <c r="A281" s="251"/>
      <c r="B281" s="204"/>
      <c r="C281" s="204"/>
      <c r="D281" s="204"/>
      <c r="E281" s="204"/>
      <c r="F281" s="204"/>
      <c r="G281" s="204"/>
    </row>
    <row r="282" spans="1:7" ht="12.75">
      <c r="A282" s="251"/>
      <c r="B282" s="204"/>
      <c r="C282" s="204"/>
      <c r="D282" s="204"/>
      <c r="E282" s="204"/>
      <c r="F282" s="204"/>
      <c r="G282" s="204"/>
    </row>
    <row r="283" spans="1:7" ht="12.75">
      <c r="A283" s="251"/>
      <c r="B283" s="204"/>
      <c r="C283" s="204"/>
      <c r="D283" s="204"/>
      <c r="E283" s="204"/>
      <c r="F283" s="204"/>
      <c r="G283" s="204"/>
    </row>
    <row r="284" spans="1:7" ht="12.75">
      <c r="A284" s="251"/>
      <c r="B284" s="204"/>
      <c r="C284" s="204"/>
      <c r="D284" s="204"/>
      <c r="E284" s="204"/>
      <c r="F284" s="204"/>
      <c r="G284" s="204"/>
    </row>
    <row r="285" spans="1:7" ht="12.75">
      <c r="A285" s="251"/>
      <c r="B285" s="204"/>
      <c r="C285" s="204"/>
      <c r="D285" s="204"/>
      <c r="E285" s="204"/>
      <c r="F285" s="204"/>
      <c r="G285" s="204"/>
    </row>
    <row r="286" spans="1:7" ht="12.75">
      <c r="A286" s="251"/>
      <c r="B286" s="204"/>
      <c r="C286" s="204"/>
      <c r="D286" s="204"/>
      <c r="E286" s="204"/>
      <c r="F286" s="204"/>
      <c r="G286" s="204"/>
    </row>
    <row r="287" spans="1:7" ht="12.75">
      <c r="A287" s="251"/>
      <c r="B287" s="204"/>
      <c r="C287" s="204"/>
      <c r="D287" s="204"/>
      <c r="E287" s="204"/>
      <c r="F287" s="204"/>
      <c r="G287" s="204"/>
    </row>
    <row r="288" spans="1:7" ht="12.75">
      <c r="A288" s="251"/>
      <c r="B288" s="204"/>
      <c r="C288" s="204"/>
      <c r="D288" s="204"/>
      <c r="E288" s="204"/>
      <c r="F288" s="204"/>
      <c r="G288" s="204"/>
    </row>
    <row r="289" spans="1:7" ht="12.75">
      <c r="A289" s="251"/>
      <c r="B289" s="204"/>
      <c r="C289" s="204"/>
      <c r="D289" s="204"/>
      <c r="E289" s="204"/>
      <c r="F289" s="204"/>
      <c r="G289" s="204"/>
    </row>
    <row r="290" spans="1:7" ht="12.75">
      <c r="A290" s="251"/>
      <c r="B290" s="204"/>
      <c r="C290" s="204"/>
      <c r="D290" s="204"/>
      <c r="E290" s="204"/>
      <c r="F290" s="204"/>
      <c r="G290" s="204"/>
    </row>
    <row r="291" spans="1:7" ht="12.75">
      <c r="A291" s="251"/>
      <c r="B291" s="204"/>
      <c r="C291" s="204"/>
      <c r="D291" s="204"/>
      <c r="E291" s="204"/>
      <c r="F291" s="204"/>
      <c r="G291" s="204"/>
    </row>
    <row r="292" spans="1:7" ht="12.75">
      <c r="A292" s="251"/>
      <c r="B292" s="204"/>
      <c r="C292" s="204"/>
      <c r="D292" s="204"/>
      <c r="E292" s="204"/>
      <c r="F292" s="204"/>
      <c r="G292" s="204"/>
    </row>
    <row r="293" spans="1:7" ht="12.75">
      <c r="A293" s="251"/>
      <c r="B293" s="204"/>
      <c r="C293" s="204"/>
      <c r="D293" s="204"/>
      <c r="E293" s="204"/>
      <c r="F293" s="204"/>
      <c r="G293" s="204"/>
    </row>
    <row r="294" spans="1:7" ht="12.75">
      <c r="A294" s="251"/>
      <c r="B294" s="204"/>
      <c r="C294" s="204"/>
      <c r="D294" s="204"/>
      <c r="E294" s="204"/>
      <c r="F294" s="204"/>
      <c r="G294" s="204"/>
    </row>
    <row r="295" spans="1:7" ht="12.75">
      <c r="A295" s="251"/>
      <c r="B295" s="204"/>
      <c r="C295" s="204"/>
      <c r="D295" s="204"/>
      <c r="E295" s="204"/>
      <c r="F295" s="204"/>
      <c r="G295" s="204"/>
    </row>
    <row r="296" spans="1:7" ht="12.75">
      <c r="A296" s="251"/>
      <c r="B296" s="204"/>
      <c r="C296" s="204"/>
      <c r="D296" s="204"/>
      <c r="E296" s="204"/>
      <c r="F296" s="204"/>
      <c r="G296" s="204"/>
    </row>
    <row r="297" spans="1:7" ht="12.75">
      <c r="A297" s="251"/>
      <c r="B297" s="204"/>
      <c r="C297" s="204"/>
      <c r="D297" s="204"/>
      <c r="E297" s="204"/>
      <c r="F297" s="204"/>
      <c r="G297" s="204"/>
    </row>
    <row r="298" spans="1:7" ht="12.75">
      <c r="A298" s="251"/>
      <c r="B298" s="204"/>
      <c r="C298" s="204"/>
      <c r="D298" s="204"/>
      <c r="E298" s="204"/>
      <c r="F298" s="204"/>
      <c r="G298" s="204"/>
    </row>
    <row r="299" spans="1:7" ht="12.75">
      <c r="A299" s="251"/>
      <c r="B299" s="204"/>
      <c r="C299" s="204"/>
      <c r="D299" s="204"/>
      <c r="E299" s="204"/>
      <c r="F299" s="204"/>
      <c r="G299" s="204"/>
    </row>
    <row r="300" spans="1:7" ht="12.75">
      <c r="A300" s="251"/>
      <c r="B300" s="204"/>
      <c r="C300" s="204"/>
      <c r="D300" s="204"/>
      <c r="E300" s="204"/>
      <c r="F300" s="204"/>
      <c r="G300" s="204"/>
    </row>
    <row r="301" spans="1:7" ht="12.75">
      <c r="A301" s="251"/>
      <c r="B301" s="204"/>
      <c r="C301" s="204"/>
      <c r="D301" s="204"/>
      <c r="E301" s="204"/>
      <c r="F301" s="204"/>
      <c r="G301" s="204"/>
    </row>
    <row r="302" spans="1:7" ht="12.75">
      <c r="A302" s="251"/>
      <c r="B302" s="204"/>
      <c r="C302" s="204"/>
      <c r="D302" s="204"/>
      <c r="E302" s="204"/>
      <c r="F302" s="204"/>
      <c r="G302" s="204"/>
    </row>
    <row r="303" spans="1:7" ht="12.75">
      <c r="A303" s="251"/>
      <c r="B303" s="204"/>
      <c r="C303" s="204"/>
      <c r="D303" s="204"/>
      <c r="E303" s="204"/>
      <c r="F303" s="204"/>
      <c r="G303" s="204"/>
    </row>
    <row r="304" spans="1:7" ht="12.75">
      <c r="A304" s="251"/>
      <c r="B304" s="204"/>
      <c r="C304" s="204"/>
      <c r="D304" s="204"/>
      <c r="E304" s="204"/>
      <c r="F304" s="204"/>
      <c r="G304" s="204"/>
    </row>
    <row r="305" spans="1:7" ht="12.75">
      <c r="A305" s="251"/>
      <c r="B305" s="204"/>
      <c r="C305" s="204"/>
      <c r="D305" s="204"/>
      <c r="E305" s="204"/>
      <c r="F305" s="204"/>
      <c r="G305" s="204"/>
    </row>
    <row r="306" spans="1:7" ht="12.75">
      <c r="A306" s="251"/>
      <c r="B306" s="204"/>
      <c r="C306" s="204"/>
      <c r="D306" s="204"/>
      <c r="E306" s="204"/>
      <c r="F306" s="204"/>
      <c r="G306" s="204"/>
    </row>
    <row r="307" spans="1:7" ht="12.75">
      <c r="A307" s="251"/>
      <c r="B307" s="204"/>
      <c r="C307" s="204"/>
      <c r="D307" s="204"/>
      <c r="E307" s="204"/>
      <c r="F307" s="204"/>
      <c r="G307" s="204"/>
    </row>
    <row r="308" spans="1:7" ht="12.75">
      <c r="A308" s="251"/>
      <c r="B308" s="204"/>
      <c r="C308" s="204"/>
      <c r="D308" s="204"/>
      <c r="E308" s="204"/>
      <c r="F308" s="204"/>
      <c r="G308" s="204"/>
    </row>
    <row r="309" spans="1:7" ht="12.75">
      <c r="A309" s="251"/>
      <c r="B309" s="204"/>
      <c r="C309" s="204"/>
      <c r="D309" s="204"/>
      <c r="E309" s="204"/>
      <c r="F309" s="204"/>
      <c r="G309" s="204"/>
    </row>
    <row r="310" spans="1:7" ht="12.75">
      <c r="A310" s="251"/>
      <c r="B310" s="204"/>
      <c r="C310" s="204"/>
      <c r="D310" s="204"/>
      <c r="E310" s="204"/>
      <c r="F310" s="204"/>
      <c r="G310" s="204"/>
    </row>
    <row r="311" spans="1:7" ht="12.75">
      <c r="A311" s="251"/>
      <c r="B311" s="204"/>
      <c r="C311" s="204"/>
      <c r="D311" s="204"/>
      <c r="E311" s="204"/>
      <c r="F311" s="204"/>
      <c r="G311" s="204"/>
    </row>
    <row r="312" spans="1:7" ht="12.75">
      <c r="A312" s="251"/>
      <c r="B312" s="204"/>
      <c r="C312" s="204"/>
      <c r="D312" s="204"/>
      <c r="E312" s="204"/>
      <c r="F312" s="204"/>
      <c r="G312" s="204"/>
    </row>
    <row r="313" spans="1:7" ht="12.75">
      <c r="A313" s="251"/>
      <c r="B313" s="204"/>
      <c r="C313" s="204"/>
      <c r="D313" s="204"/>
      <c r="E313" s="204"/>
      <c r="F313" s="204"/>
      <c r="G313" s="204"/>
    </row>
    <row r="314" spans="1:7" ht="12.75">
      <c r="A314" s="251"/>
      <c r="B314" s="204"/>
      <c r="C314" s="204"/>
      <c r="D314" s="204"/>
      <c r="E314" s="204"/>
      <c r="F314" s="204"/>
      <c r="G314" s="204"/>
    </row>
    <row r="315" spans="1:7" ht="12.75">
      <c r="A315" s="251"/>
      <c r="B315" s="204"/>
      <c r="C315" s="204"/>
      <c r="D315" s="204"/>
      <c r="E315" s="204"/>
      <c r="F315" s="204"/>
      <c r="G315" s="204"/>
    </row>
    <row r="316" spans="1:7" ht="12.75">
      <c r="A316" s="251"/>
      <c r="B316" s="204"/>
      <c r="C316" s="204"/>
      <c r="D316" s="204"/>
      <c r="E316" s="204"/>
      <c r="F316" s="204"/>
      <c r="G316" s="204"/>
    </row>
    <row r="317" spans="1:7" ht="12.75">
      <c r="A317" s="251"/>
      <c r="B317" s="204"/>
      <c r="C317" s="204"/>
      <c r="D317" s="204"/>
      <c r="E317" s="204"/>
      <c r="F317" s="204"/>
      <c r="G317" s="204"/>
    </row>
    <row r="318" spans="1:7" ht="12.75">
      <c r="A318" s="251"/>
      <c r="B318" s="204"/>
      <c r="C318" s="204"/>
      <c r="D318" s="204"/>
      <c r="E318" s="204"/>
      <c r="F318" s="204"/>
      <c r="G318" s="204"/>
    </row>
    <row r="319" spans="1:7" ht="12.75">
      <c r="A319" s="251"/>
      <c r="B319" s="204"/>
      <c r="C319" s="204"/>
      <c r="D319" s="204"/>
      <c r="E319" s="204"/>
      <c r="F319" s="204"/>
      <c r="G319" s="204"/>
    </row>
    <row r="320" spans="1:7" ht="12.75">
      <c r="A320" s="251"/>
      <c r="B320" s="204"/>
      <c r="C320" s="204"/>
      <c r="D320" s="204"/>
      <c r="E320" s="204"/>
      <c r="F320" s="204"/>
      <c r="G320" s="204"/>
    </row>
    <row r="321" spans="1:7" ht="12.75">
      <c r="A321" s="251"/>
      <c r="B321" s="204"/>
      <c r="C321" s="204"/>
      <c r="D321" s="204"/>
      <c r="E321" s="204"/>
      <c r="F321" s="204"/>
      <c r="G321" s="204"/>
    </row>
    <row r="322" spans="1:7" ht="12.75">
      <c r="A322" s="251"/>
      <c r="B322" s="204"/>
      <c r="C322" s="204"/>
      <c r="D322" s="204"/>
      <c r="E322" s="204"/>
      <c r="F322" s="204"/>
      <c r="G322" s="204"/>
    </row>
    <row r="323" spans="1:7" ht="12.75">
      <c r="A323" s="251"/>
      <c r="B323" s="204"/>
      <c r="C323" s="204"/>
      <c r="D323" s="204"/>
      <c r="E323" s="204"/>
      <c r="F323" s="204"/>
      <c r="G323" s="204"/>
    </row>
    <row r="324" spans="1:7" ht="12.75">
      <c r="A324" s="251"/>
      <c r="B324" s="204"/>
      <c r="C324" s="204"/>
      <c r="D324" s="204"/>
      <c r="E324" s="204"/>
      <c r="F324" s="204"/>
      <c r="G324" s="204"/>
    </row>
    <row r="325" spans="1:7" ht="12.75">
      <c r="A325" s="251"/>
      <c r="B325" s="204"/>
      <c r="C325" s="204"/>
      <c r="D325" s="204"/>
      <c r="E325" s="204"/>
      <c r="F325" s="204"/>
      <c r="G325" s="204"/>
    </row>
    <row r="326" spans="1:7" ht="12.75">
      <c r="A326" s="251"/>
      <c r="B326" s="204"/>
      <c r="C326" s="204"/>
      <c r="D326" s="204"/>
      <c r="E326" s="204"/>
      <c r="F326" s="204"/>
      <c r="G326" s="204"/>
    </row>
    <row r="327" spans="1:7" ht="12.75">
      <c r="A327" s="251"/>
      <c r="B327" s="204"/>
      <c r="C327" s="204"/>
      <c r="D327" s="204"/>
      <c r="E327" s="204"/>
      <c r="F327" s="204"/>
      <c r="G327" s="204"/>
    </row>
    <row r="328" spans="1:7" ht="12.75">
      <c r="A328" s="251"/>
      <c r="B328" s="204"/>
      <c r="C328" s="204"/>
      <c r="D328" s="204"/>
      <c r="E328" s="204"/>
      <c r="F328" s="204"/>
      <c r="G328" s="204"/>
    </row>
    <row r="329" spans="1:7" ht="12.75">
      <c r="A329" s="251"/>
      <c r="B329" s="204"/>
      <c r="C329" s="204"/>
      <c r="D329" s="204"/>
      <c r="E329" s="204"/>
      <c r="F329" s="204"/>
      <c r="G329" s="204"/>
    </row>
    <row r="330" spans="1:7" ht="12.75">
      <c r="A330" s="251"/>
      <c r="B330" s="204"/>
      <c r="C330" s="204"/>
      <c r="D330" s="204"/>
      <c r="E330" s="204"/>
      <c r="F330" s="204"/>
      <c r="G330" s="204"/>
    </row>
    <row r="331" spans="1:7" ht="12.75">
      <c r="A331" s="251"/>
      <c r="B331" s="204"/>
      <c r="C331" s="204"/>
      <c r="D331" s="204"/>
      <c r="E331" s="204"/>
      <c r="F331" s="204"/>
      <c r="G331" s="204"/>
    </row>
    <row r="332" spans="1:7" ht="12.75">
      <c r="A332" s="251"/>
      <c r="B332" s="204"/>
      <c r="C332" s="204"/>
      <c r="D332" s="204"/>
      <c r="E332" s="204"/>
      <c r="F332" s="204"/>
      <c r="G332" s="204"/>
    </row>
    <row r="333" spans="1:7" ht="12.75">
      <c r="A333" s="251"/>
      <c r="B333" s="204"/>
      <c r="C333" s="204"/>
      <c r="D333" s="204"/>
      <c r="E333" s="204"/>
      <c r="F333" s="204"/>
      <c r="G333" s="204"/>
    </row>
    <row r="334" spans="1:7" ht="12.75">
      <c r="A334" s="251"/>
      <c r="B334" s="204"/>
      <c r="C334" s="204"/>
      <c r="D334" s="204"/>
      <c r="E334" s="204"/>
      <c r="F334" s="204"/>
      <c r="G334" s="204"/>
    </row>
    <row r="335" spans="1:7" ht="12.75">
      <c r="A335" s="251"/>
      <c r="B335" s="204"/>
      <c r="C335" s="204"/>
      <c r="D335" s="204"/>
      <c r="E335" s="204"/>
      <c r="F335" s="204"/>
      <c r="G335" s="204"/>
    </row>
    <row r="336" spans="1:7" ht="12.75">
      <c r="A336" s="251"/>
      <c r="B336" s="204"/>
      <c r="C336" s="204"/>
      <c r="D336" s="204"/>
      <c r="E336" s="204"/>
      <c r="F336" s="204"/>
      <c r="G336" s="204"/>
    </row>
    <row r="337" spans="1:7" ht="12.75">
      <c r="A337" s="251"/>
      <c r="B337" s="204"/>
      <c r="C337" s="204"/>
      <c r="D337" s="204"/>
      <c r="E337" s="204"/>
      <c r="F337" s="204"/>
      <c r="G337" s="204"/>
    </row>
    <row r="338" spans="1:7" ht="12.75">
      <c r="A338" s="251"/>
      <c r="B338" s="204"/>
      <c r="C338" s="204"/>
      <c r="D338" s="204"/>
      <c r="E338" s="204"/>
      <c r="F338" s="204"/>
      <c r="G338" s="204"/>
    </row>
    <row r="339" spans="1:7" ht="12.75">
      <c r="A339" s="251"/>
      <c r="B339" s="204"/>
      <c r="C339" s="204"/>
      <c r="D339" s="204"/>
      <c r="E339" s="204"/>
      <c r="F339" s="204"/>
      <c r="G339" s="204"/>
    </row>
    <row r="340" spans="1:7" ht="12.75">
      <c r="A340" s="251"/>
      <c r="B340" s="204"/>
      <c r="C340" s="204"/>
      <c r="D340" s="204"/>
      <c r="E340" s="204"/>
      <c r="F340" s="204"/>
      <c r="G340" s="204"/>
    </row>
    <row r="341" spans="1:7" ht="12.75">
      <c r="A341" s="251"/>
      <c r="B341" s="204"/>
      <c r="C341" s="204"/>
      <c r="D341" s="204"/>
      <c r="E341" s="204"/>
      <c r="F341" s="204"/>
      <c r="G341" s="204"/>
    </row>
    <row r="342" spans="1:7" ht="12.75">
      <c r="A342" s="251"/>
      <c r="B342" s="204"/>
      <c r="C342" s="204"/>
      <c r="D342" s="204"/>
      <c r="E342" s="204"/>
      <c r="F342" s="204"/>
      <c r="G342" s="204"/>
    </row>
    <row r="343" spans="1:7" ht="12.75">
      <c r="A343" s="251"/>
      <c r="B343" s="204"/>
      <c r="C343" s="204"/>
      <c r="D343" s="204"/>
      <c r="E343" s="204"/>
      <c r="F343" s="204"/>
      <c r="G343" s="204"/>
    </row>
    <row r="344" spans="1:7" ht="12.75">
      <c r="A344" s="251"/>
      <c r="B344" s="204"/>
      <c r="C344" s="204"/>
      <c r="D344" s="204"/>
      <c r="E344" s="204"/>
      <c r="F344" s="204"/>
      <c r="G344" s="204"/>
    </row>
    <row r="345" spans="1:7" ht="12.75">
      <c r="A345" s="251"/>
      <c r="B345" s="204"/>
      <c r="C345" s="204"/>
      <c r="D345" s="204"/>
      <c r="E345" s="204"/>
      <c r="F345" s="204"/>
      <c r="G345" s="204"/>
    </row>
    <row r="346" spans="1:7" ht="12.75">
      <c r="A346" s="251"/>
      <c r="B346" s="204"/>
      <c r="C346" s="204"/>
      <c r="D346" s="204"/>
      <c r="E346" s="204"/>
      <c r="F346" s="204"/>
      <c r="G346" s="204"/>
    </row>
    <row r="347" spans="1:7" ht="12.75">
      <c r="A347" s="251"/>
      <c r="B347" s="204"/>
      <c r="C347" s="204"/>
      <c r="D347" s="204"/>
      <c r="E347" s="204"/>
      <c r="F347" s="204"/>
      <c r="G347" s="204"/>
    </row>
    <row r="348" spans="1:7" ht="12.75">
      <c r="A348" s="251"/>
      <c r="B348" s="204"/>
      <c r="C348" s="204"/>
      <c r="D348" s="204"/>
      <c r="E348" s="204"/>
      <c r="F348" s="204"/>
      <c r="G348" s="204"/>
    </row>
    <row r="349" spans="1:7" ht="12.75">
      <c r="A349" s="251"/>
      <c r="B349" s="204"/>
      <c r="C349" s="204"/>
      <c r="D349" s="204"/>
      <c r="E349" s="204"/>
      <c r="F349" s="204"/>
      <c r="G349" s="204"/>
    </row>
    <row r="350" spans="1:7" ht="12.75">
      <c r="A350" s="251"/>
      <c r="B350" s="204"/>
      <c r="C350" s="204"/>
      <c r="D350" s="204"/>
      <c r="E350" s="204"/>
      <c r="F350" s="204"/>
      <c r="G350" s="204"/>
    </row>
    <row r="351" spans="1:7" ht="12.75">
      <c r="A351" s="251"/>
      <c r="B351" s="204"/>
      <c r="C351" s="204"/>
      <c r="D351" s="204"/>
      <c r="E351" s="204"/>
      <c r="F351" s="204"/>
      <c r="G351" s="204"/>
    </row>
    <row r="352" spans="1:7" ht="12.75">
      <c r="A352" s="251"/>
      <c r="B352" s="204"/>
      <c r="C352" s="204"/>
      <c r="D352" s="204"/>
      <c r="E352" s="204"/>
      <c r="F352" s="204"/>
      <c r="G352" s="204"/>
    </row>
    <row r="353" spans="1:7" ht="12.75">
      <c r="A353" s="251"/>
      <c r="B353" s="204"/>
      <c r="C353" s="204"/>
      <c r="D353" s="204"/>
      <c r="E353" s="204"/>
      <c r="F353" s="204"/>
      <c r="G353" s="204"/>
    </row>
    <row r="354" spans="1:7" ht="12.75">
      <c r="A354" s="251"/>
      <c r="B354" s="204"/>
      <c r="C354" s="204"/>
      <c r="D354" s="204"/>
      <c r="E354" s="204"/>
      <c r="F354" s="204"/>
      <c r="G354" s="204"/>
    </row>
    <row r="355" spans="1:7" ht="12.75">
      <c r="A355" s="251"/>
      <c r="B355" s="204"/>
      <c r="C355" s="204"/>
      <c r="D355" s="204"/>
      <c r="E355" s="204"/>
      <c r="F355" s="204"/>
      <c r="G355" s="204"/>
    </row>
    <row r="356" spans="1:7" ht="12.75">
      <c r="A356" s="251"/>
      <c r="B356" s="204"/>
      <c r="C356" s="204"/>
      <c r="D356" s="204"/>
      <c r="E356" s="204"/>
      <c r="F356" s="204"/>
      <c r="G356" s="204"/>
    </row>
    <row r="357" spans="1:7" ht="12.75">
      <c r="A357" s="251"/>
      <c r="B357" s="204"/>
      <c r="C357" s="204"/>
      <c r="D357" s="204"/>
      <c r="E357" s="204"/>
      <c r="F357" s="204"/>
      <c r="G357" s="204"/>
    </row>
    <row r="358" spans="1:7" ht="12.75">
      <c r="A358" s="251"/>
      <c r="B358" s="204"/>
      <c r="C358" s="204"/>
      <c r="D358" s="204"/>
      <c r="E358" s="204"/>
      <c r="F358" s="204"/>
      <c r="G358" s="204"/>
    </row>
    <row r="359" spans="1:7" ht="12.75">
      <c r="A359" s="251"/>
      <c r="B359" s="204"/>
      <c r="C359" s="204"/>
      <c r="D359" s="204"/>
      <c r="E359" s="204"/>
      <c r="F359" s="204"/>
      <c r="G359" s="204"/>
    </row>
    <row r="360" spans="1:7" ht="12.75">
      <c r="A360" s="251"/>
      <c r="B360" s="204"/>
      <c r="C360" s="204"/>
      <c r="D360" s="204"/>
      <c r="E360" s="204"/>
      <c r="F360" s="204"/>
      <c r="G360" s="204"/>
    </row>
    <row r="361" spans="1:7" ht="12.75">
      <c r="A361" s="251"/>
      <c r="B361" s="204"/>
      <c r="C361" s="204"/>
      <c r="D361" s="204"/>
      <c r="E361" s="204"/>
      <c r="F361" s="204"/>
      <c r="G361" s="204"/>
    </row>
    <row r="362" spans="1:7" ht="12.75">
      <c r="A362" s="251"/>
      <c r="B362" s="204"/>
      <c r="C362" s="204"/>
      <c r="D362" s="204"/>
      <c r="E362" s="204"/>
      <c r="F362" s="204"/>
      <c r="G362" s="204"/>
    </row>
    <row r="363" spans="1:7" ht="12.75">
      <c r="A363" s="251"/>
      <c r="B363" s="204"/>
      <c r="C363" s="204"/>
      <c r="D363" s="204"/>
      <c r="E363" s="204"/>
      <c r="F363" s="204"/>
      <c r="G363" s="204"/>
    </row>
    <row r="364" spans="1:7" ht="12.75">
      <c r="A364" s="251"/>
      <c r="B364" s="204"/>
      <c r="C364" s="204"/>
      <c r="D364" s="204"/>
      <c r="E364" s="204"/>
      <c r="F364" s="204"/>
      <c r="G364" s="204"/>
    </row>
    <row r="365" spans="1:7" ht="12.75">
      <c r="A365" s="251"/>
      <c r="B365" s="204"/>
      <c r="C365" s="204"/>
      <c r="D365" s="204"/>
      <c r="E365" s="204"/>
      <c r="F365" s="204"/>
      <c r="G365" s="204"/>
    </row>
    <row r="366" spans="1:7" ht="12.75">
      <c r="A366" s="251"/>
      <c r="B366" s="204"/>
      <c r="C366" s="204"/>
      <c r="D366" s="204"/>
      <c r="E366" s="204"/>
      <c r="F366" s="204"/>
      <c r="G366" s="204"/>
    </row>
    <row r="367" spans="1:7" ht="12.75">
      <c r="A367" s="251"/>
      <c r="B367" s="204"/>
      <c r="C367" s="204"/>
      <c r="D367" s="204"/>
      <c r="E367" s="204"/>
      <c r="F367" s="204"/>
      <c r="G367" s="204"/>
    </row>
    <row r="368" spans="1:7" ht="12.75">
      <c r="A368" s="251"/>
      <c r="B368" s="204"/>
      <c r="C368" s="204"/>
      <c r="D368" s="204"/>
      <c r="E368" s="204"/>
      <c r="F368" s="204"/>
      <c r="G368" s="204"/>
    </row>
    <row r="369" spans="1:7" ht="12.75">
      <c r="A369" s="251"/>
      <c r="B369" s="204"/>
      <c r="C369" s="204"/>
      <c r="D369" s="204"/>
      <c r="E369" s="204"/>
      <c r="F369" s="204"/>
      <c r="G369" s="204"/>
    </row>
    <row r="370" spans="1:7" ht="12.75">
      <c r="A370" s="251"/>
      <c r="B370" s="204"/>
      <c r="C370" s="204"/>
      <c r="D370" s="204"/>
      <c r="E370" s="204"/>
      <c r="F370" s="204"/>
      <c r="G370" s="204"/>
    </row>
    <row r="371" spans="1:7" ht="12.75">
      <c r="A371" s="251"/>
      <c r="B371" s="204"/>
      <c r="C371" s="204"/>
      <c r="D371" s="204"/>
      <c r="E371" s="204"/>
      <c r="F371" s="204"/>
      <c r="G371" s="204"/>
    </row>
    <row r="372" spans="1:7" ht="12.75">
      <c r="A372" s="251"/>
      <c r="B372" s="204"/>
      <c r="C372" s="204"/>
      <c r="D372" s="204"/>
      <c r="E372" s="204"/>
      <c r="F372" s="204"/>
      <c r="G372" s="204"/>
    </row>
    <row r="373" spans="1:7" ht="12.75">
      <c r="A373" s="251"/>
      <c r="B373" s="204"/>
      <c r="C373" s="204"/>
      <c r="D373" s="204"/>
      <c r="E373" s="204"/>
      <c r="F373" s="204"/>
      <c r="G373" s="204"/>
    </row>
    <row r="374" spans="1:7" ht="12.75">
      <c r="A374" s="251"/>
      <c r="B374" s="204"/>
      <c r="C374" s="204"/>
      <c r="D374" s="204"/>
      <c r="E374" s="204"/>
      <c r="F374" s="204"/>
      <c r="G374" s="204"/>
    </row>
    <row r="375" spans="1:7" ht="12.75">
      <c r="A375" s="251"/>
      <c r="B375" s="204"/>
      <c r="C375" s="204"/>
      <c r="D375" s="204"/>
      <c r="E375" s="204"/>
      <c r="F375" s="204"/>
      <c r="G375" s="204"/>
    </row>
    <row r="376" spans="1:7" ht="12.75">
      <c r="A376" s="251"/>
      <c r="B376" s="204"/>
      <c r="C376" s="204"/>
      <c r="D376" s="204"/>
      <c r="E376" s="204"/>
      <c r="F376" s="204"/>
      <c r="G376" s="204"/>
    </row>
    <row r="377" spans="1:7" ht="12.75">
      <c r="A377" s="251"/>
      <c r="B377" s="204"/>
      <c r="C377" s="204"/>
      <c r="D377" s="204"/>
      <c r="E377" s="204"/>
      <c r="F377" s="204"/>
      <c r="G377" s="204"/>
    </row>
    <row r="378" spans="1:7" ht="12.75">
      <c r="A378" s="251"/>
      <c r="B378" s="204"/>
      <c r="C378" s="204"/>
      <c r="D378" s="204"/>
      <c r="E378" s="204"/>
      <c r="F378" s="204"/>
      <c r="G378" s="204"/>
    </row>
    <row r="379" spans="1:7" ht="12.75">
      <c r="A379" s="251"/>
      <c r="B379" s="204"/>
      <c r="C379" s="204"/>
      <c r="D379" s="204"/>
      <c r="E379" s="204"/>
      <c r="F379" s="204"/>
      <c r="G379" s="204"/>
    </row>
    <row r="380" spans="1:7" ht="12.75">
      <c r="A380" s="251"/>
      <c r="B380" s="204"/>
      <c r="C380" s="204"/>
      <c r="D380" s="204"/>
      <c r="E380" s="204"/>
      <c r="F380" s="204"/>
      <c r="G380" s="204"/>
    </row>
    <row r="381" spans="1:7" ht="12.75">
      <c r="A381" s="251"/>
      <c r="B381" s="204"/>
      <c r="C381" s="204"/>
      <c r="D381" s="204"/>
      <c r="E381" s="204"/>
      <c r="F381" s="204"/>
      <c r="G381" s="204"/>
    </row>
    <row r="382" spans="1:7" ht="12.75">
      <c r="A382" s="251"/>
      <c r="B382" s="204"/>
      <c r="C382" s="204"/>
      <c r="D382" s="204"/>
      <c r="E382" s="204"/>
      <c r="F382" s="204"/>
      <c r="G382" s="204"/>
    </row>
    <row r="383" spans="1:7" ht="12.75">
      <c r="A383" s="251"/>
      <c r="B383" s="204"/>
      <c r="C383" s="204"/>
      <c r="D383" s="204"/>
      <c r="E383" s="204"/>
      <c r="F383" s="204"/>
      <c r="G383" s="204"/>
    </row>
    <row r="384" spans="1:7" ht="12.75">
      <c r="A384" s="251"/>
      <c r="B384" s="204"/>
      <c r="C384" s="204"/>
      <c r="D384" s="204"/>
      <c r="E384" s="204"/>
      <c r="F384" s="204"/>
      <c r="G384" s="204"/>
    </row>
    <row r="385" spans="1:7" ht="12.75">
      <c r="A385" s="251"/>
      <c r="B385" s="204"/>
      <c r="C385" s="204"/>
      <c r="D385" s="204"/>
      <c r="E385" s="204"/>
      <c r="F385" s="204"/>
      <c r="G385" s="204"/>
    </row>
    <row r="386" spans="1:7" ht="12.75">
      <c r="A386" s="251"/>
      <c r="B386" s="204"/>
      <c r="C386" s="204"/>
      <c r="D386" s="204"/>
      <c r="E386" s="204"/>
      <c r="F386" s="204"/>
      <c r="G386" s="204"/>
    </row>
    <row r="387" spans="1:7" ht="12.75">
      <c r="A387" s="251"/>
      <c r="B387" s="204"/>
      <c r="C387" s="204"/>
      <c r="D387" s="204"/>
      <c r="E387" s="204"/>
      <c r="F387" s="204"/>
      <c r="G387" s="204"/>
    </row>
    <row r="388" spans="1:7" ht="12.75">
      <c r="A388" s="251"/>
      <c r="B388" s="204"/>
      <c r="C388" s="204"/>
      <c r="D388" s="204"/>
      <c r="E388" s="204"/>
      <c r="F388" s="204"/>
      <c r="G388" s="204"/>
    </row>
    <row r="389" spans="1:7" ht="12.75">
      <c r="A389" s="251"/>
      <c r="B389" s="204"/>
      <c r="C389" s="204"/>
      <c r="D389" s="204"/>
      <c r="E389" s="204"/>
      <c r="F389" s="204"/>
      <c r="G389" s="204"/>
    </row>
    <row r="390" spans="1:7" ht="12.75">
      <c r="A390" s="251"/>
      <c r="B390" s="204"/>
      <c r="C390" s="204"/>
      <c r="D390" s="204"/>
      <c r="E390" s="204"/>
      <c r="F390" s="204"/>
      <c r="G390" s="204"/>
    </row>
    <row r="391" spans="1:7" ht="12.75">
      <c r="A391" s="251"/>
      <c r="B391" s="204"/>
      <c r="C391" s="204"/>
      <c r="D391" s="204"/>
      <c r="E391" s="204"/>
      <c r="F391" s="204"/>
      <c r="G391" s="204"/>
    </row>
    <row r="392" spans="1:7" ht="12.75">
      <c r="A392" s="251"/>
      <c r="B392" s="204"/>
      <c r="C392" s="204"/>
      <c r="D392" s="204"/>
      <c r="E392" s="204"/>
      <c r="F392" s="204"/>
      <c r="G392" s="204"/>
    </row>
    <row r="393" spans="1:7" ht="12.75">
      <c r="A393" s="251"/>
      <c r="B393" s="204"/>
      <c r="C393" s="204"/>
      <c r="D393" s="204"/>
      <c r="E393" s="204"/>
      <c r="F393" s="204"/>
      <c r="G393" s="204"/>
    </row>
    <row r="394" spans="1:7" ht="12.75">
      <c r="A394" s="251"/>
      <c r="B394" s="204"/>
      <c r="C394" s="204"/>
      <c r="D394" s="204"/>
      <c r="E394" s="204"/>
      <c r="F394" s="204"/>
      <c r="G394" s="204"/>
    </row>
    <row r="395" spans="1:7" ht="12.75">
      <c r="A395" s="251"/>
      <c r="B395" s="204"/>
      <c r="C395" s="204"/>
      <c r="D395" s="204"/>
      <c r="E395" s="204"/>
      <c r="F395" s="204"/>
      <c r="G395" s="204"/>
    </row>
    <row r="396" spans="1:7" ht="12.75">
      <c r="A396" s="251"/>
      <c r="B396" s="204"/>
      <c r="C396" s="204"/>
      <c r="D396" s="204"/>
      <c r="E396" s="204"/>
      <c r="F396" s="204"/>
      <c r="G396" s="204"/>
    </row>
    <row r="397" spans="1:7" ht="12.75">
      <c r="A397" s="251"/>
      <c r="B397" s="204"/>
      <c r="C397" s="204"/>
      <c r="D397" s="204"/>
      <c r="E397" s="204"/>
      <c r="F397" s="204"/>
      <c r="G397" s="204"/>
    </row>
    <row r="398" spans="1:7" ht="12.75">
      <c r="A398" s="251"/>
      <c r="B398" s="204"/>
      <c r="C398" s="204"/>
      <c r="D398" s="204"/>
      <c r="E398" s="204"/>
      <c r="F398" s="204"/>
      <c r="G398" s="204"/>
    </row>
    <row r="399" spans="1:7" ht="12.75">
      <c r="A399" s="251"/>
      <c r="B399" s="204"/>
      <c r="C399" s="204"/>
      <c r="D399" s="204"/>
      <c r="E399" s="204"/>
      <c r="F399" s="204"/>
      <c r="G399" s="204"/>
    </row>
    <row r="400" spans="1:7" ht="12.75">
      <c r="A400" s="251"/>
      <c r="B400" s="204"/>
      <c r="C400" s="204"/>
      <c r="D400" s="204"/>
      <c r="E400" s="204"/>
      <c r="F400" s="204"/>
      <c r="G400" s="204"/>
    </row>
    <row r="401" spans="1:7" ht="12.75">
      <c r="A401" s="251"/>
      <c r="B401" s="204"/>
      <c r="C401" s="204"/>
      <c r="D401" s="204"/>
      <c r="E401" s="204"/>
      <c r="F401" s="204"/>
      <c r="G401" s="204"/>
    </row>
    <row r="402" spans="1:7" ht="12.75">
      <c r="A402" s="251"/>
      <c r="B402" s="204"/>
      <c r="C402" s="204"/>
      <c r="D402" s="204"/>
      <c r="E402" s="204"/>
      <c r="F402" s="204"/>
      <c r="G402" s="204"/>
    </row>
    <row r="403" spans="1:7" ht="12.75">
      <c r="A403" s="251"/>
      <c r="B403" s="204"/>
      <c r="C403" s="204"/>
      <c r="D403" s="204"/>
      <c r="E403" s="204"/>
      <c r="F403" s="204"/>
      <c r="G403" s="204"/>
    </row>
    <row r="404" spans="1:7" ht="12.75">
      <c r="A404" s="251"/>
      <c r="B404" s="204"/>
      <c r="C404" s="204"/>
      <c r="D404" s="204"/>
      <c r="E404" s="204"/>
      <c r="F404" s="204"/>
      <c r="G404" s="204"/>
    </row>
    <row r="405" spans="1:7" ht="12.75">
      <c r="A405" s="251"/>
      <c r="B405" s="204"/>
      <c r="C405" s="204"/>
      <c r="D405" s="204"/>
      <c r="E405" s="204"/>
      <c r="F405" s="204"/>
      <c r="G405" s="204"/>
    </row>
    <row r="406" spans="1:7" ht="12.75">
      <c r="A406" s="251"/>
      <c r="B406" s="204"/>
      <c r="C406" s="204"/>
      <c r="D406" s="204"/>
      <c r="E406" s="204"/>
      <c r="F406" s="204"/>
      <c r="G406" s="204"/>
    </row>
    <row r="407" spans="1:7" ht="12.75">
      <c r="A407" s="251"/>
      <c r="B407" s="204"/>
      <c r="C407" s="204"/>
      <c r="D407" s="204"/>
      <c r="E407" s="204"/>
      <c r="F407" s="204"/>
      <c r="G407" s="204"/>
    </row>
    <row r="408" spans="1:7" ht="12.75">
      <c r="A408" s="251"/>
      <c r="B408" s="204"/>
      <c r="C408" s="204"/>
      <c r="D408" s="204"/>
      <c r="E408" s="204"/>
      <c r="F408" s="204"/>
      <c r="G408" s="204"/>
    </row>
    <row r="409" spans="1:7" ht="12.75">
      <c r="A409" s="251"/>
      <c r="B409" s="204"/>
      <c r="C409" s="204"/>
      <c r="D409" s="204"/>
      <c r="E409" s="204"/>
      <c r="F409" s="204"/>
      <c r="G409" s="204"/>
    </row>
    <row r="410" spans="1:7" ht="12.75">
      <c r="A410" s="251"/>
      <c r="B410" s="204"/>
      <c r="C410" s="204"/>
      <c r="D410" s="204"/>
      <c r="E410" s="204"/>
      <c r="F410" s="204"/>
      <c r="G410" s="204"/>
    </row>
    <row r="411" spans="1:7" ht="12.75">
      <c r="A411" s="251"/>
      <c r="B411" s="204"/>
      <c r="C411" s="204"/>
      <c r="D411" s="204"/>
      <c r="E411" s="204"/>
      <c r="F411" s="204"/>
      <c r="G411" s="204"/>
    </row>
    <row r="412" spans="1:7" ht="12.75">
      <c r="A412" s="251"/>
      <c r="B412" s="204"/>
      <c r="C412" s="204"/>
      <c r="D412" s="204"/>
      <c r="E412" s="204"/>
      <c r="F412" s="204"/>
      <c r="G412" s="204"/>
    </row>
    <row r="413" spans="1:7" ht="12.75">
      <c r="A413" s="251"/>
      <c r="B413" s="204"/>
      <c r="C413" s="204"/>
      <c r="D413" s="204"/>
      <c r="E413" s="204"/>
      <c r="F413" s="204"/>
      <c r="G413" s="204"/>
    </row>
    <row r="414" spans="1:7" ht="12.75">
      <c r="A414" s="251"/>
      <c r="B414" s="204"/>
      <c r="C414" s="204"/>
      <c r="D414" s="204"/>
      <c r="E414" s="204"/>
      <c r="F414" s="204"/>
      <c r="G414" s="204"/>
    </row>
    <row r="415" spans="1:7" ht="12.75">
      <c r="A415" s="251"/>
      <c r="B415" s="204"/>
      <c r="C415" s="204"/>
      <c r="D415" s="204"/>
      <c r="E415" s="204"/>
      <c r="F415" s="204"/>
      <c r="G415" s="204"/>
    </row>
    <row r="416" spans="1:7" ht="12.75">
      <c r="A416" s="251"/>
      <c r="B416" s="204"/>
      <c r="C416" s="204"/>
      <c r="D416" s="204"/>
      <c r="E416" s="204"/>
      <c r="F416" s="204"/>
      <c r="G416" s="204"/>
    </row>
    <row r="417" spans="1:7" ht="12.75">
      <c r="A417" s="251"/>
      <c r="B417" s="204"/>
      <c r="C417" s="204"/>
      <c r="D417" s="204"/>
      <c r="E417" s="204"/>
      <c r="F417" s="204"/>
      <c r="G417" s="204"/>
    </row>
    <row r="418" spans="1:7" ht="12.75">
      <c r="A418" s="251"/>
      <c r="B418" s="204"/>
      <c r="C418" s="204"/>
      <c r="D418" s="204"/>
      <c r="E418" s="204"/>
      <c r="F418" s="204"/>
      <c r="G418" s="204"/>
    </row>
    <row r="419" spans="1:7" ht="12.75">
      <c r="A419" s="251"/>
      <c r="B419" s="204"/>
      <c r="C419" s="204"/>
      <c r="D419" s="204"/>
      <c r="E419" s="204"/>
      <c r="F419" s="204"/>
      <c r="G419" s="204"/>
    </row>
    <row r="420" spans="1:7" ht="12.75">
      <c r="A420" s="251"/>
      <c r="B420" s="204"/>
      <c r="C420" s="204"/>
      <c r="D420" s="204"/>
      <c r="E420" s="204"/>
      <c r="F420" s="204"/>
      <c r="G420" s="204"/>
    </row>
    <row r="421" spans="1:7" ht="12.75">
      <c r="A421" s="251"/>
      <c r="B421" s="204"/>
      <c r="C421" s="204"/>
      <c r="D421" s="204"/>
      <c r="E421" s="204"/>
      <c r="F421" s="204"/>
      <c r="G421" s="204"/>
    </row>
    <row r="422" spans="1:7" ht="12.75">
      <c r="A422" s="251"/>
      <c r="B422" s="204"/>
      <c r="C422" s="204"/>
      <c r="D422" s="204"/>
      <c r="E422" s="204"/>
      <c r="F422" s="204"/>
      <c r="G422" s="204"/>
    </row>
    <row r="423" spans="1:7" ht="12.75">
      <c r="A423" s="251"/>
      <c r="B423" s="204"/>
      <c r="C423" s="204"/>
      <c r="D423" s="204"/>
      <c r="E423" s="204"/>
      <c r="F423" s="204"/>
      <c r="G423" s="204"/>
    </row>
    <row r="424" spans="1:7" ht="12.75">
      <c r="A424" s="251"/>
      <c r="B424" s="204"/>
      <c r="C424" s="204"/>
      <c r="D424" s="204"/>
      <c r="E424" s="204"/>
      <c r="F424" s="204"/>
      <c r="G424" s="204"/>
    </row>
    <row r="425" spans="1:7" ht="12.75">
      <c r="A425" s="251"/>
      <c r="B425" s="204"/>
      <c r="C425" s="204"/>
      <c r="D425" s="204"/>
      <c r="E425" s="204"/>
      <c r="F425" s="204"/>
      <c r="G425" s="204"/>
    </row>
    <row r="426" spans="1:7" ht="12.75">
      <c r="A426" s="251"/>
      <c r="B426" s="204"/>
      <c r="C426" s="204"/>
      <c r="D426" s="204"/>
      <c r="E426" s="204"/>
      <c r="F426" s="204"/>
      <c r="G426" s="204"/>
    </row>
    <row r="427" spans="1:7" ht="12.75">
      <c r="A427" s="251"/>
      <c r="B427" s="204"/>
      <c r="C427" s="204"/>
      <c r="D427" s="204"/>
      <c r="E427" s="204"/>
      <c r="F427" s="204"/>
      <c r="G427" s="204"/>
    </row>
    <row r="428" spans="1:7" ht="12.75">
      <c r="A428" s="251"/>
      <c r="B428" s="204"/>
      <c r="C428" s="204"/>
      <c r="D428" s="204"/>
      <c r="E428" s="204"/>
      <c r="F428" s="204"/>
      <c r="G428" s="204"/>
    </row>
    <row r="429" spans="1:7" ht="12.75">
      <c r="A429" s="251"/>
      <c r="B429" s="204"/>
      <c r="C429" s="204"/>
      <c r="D429" s="204"/>
      <c r="E429" s="204"/>
      <c r="F429" s="204"/>
      <c r="G429" s="204"/>
    </row>
    <row r="430" spans="1:7" ht="12.75">
      <c r="A430" s="251"/>
      <c r="B430" s="204"/>
      <c r="C430" s="204"/>
      <c r="D430" s="204"/>
      <c r="E430" s="204"/>
      <c r="F430" s="204"/>
      <c r="G430" s="204"/>
    </row>
    <row r="431" spans="1:7" ht="12.75">
      <c r="A431" s="251"/>
      <c r="B431" s="204"/>
      <c r="C431" s="204"/>
      <c r="D431" s="204"/>
      <c r="E431" s="204"/>
      <c r="F431" s="204"/>
      <c r="G431" s="204"/>
    </row>
    <row r="432" spans="1:7" ht="12.75">
      <c r="A432" s="251"/>
      <c r="B432" s="204"/>
      <c r="C432" s="204"/>
      <c r="D432" s="204"/>
      <c r="E432" s="204"/>
      <c r="F432" s="204"/>
      <c r="G432" s="204"/>
    </row>
    <row r="433" spans="1:7" ht="12.75">
      <c r="A433" s="251"/>
      <c r="B433" s="204"/>
      <c r="C433" s="204"/>
      <c r="D433" s="204"/>
      <c r="E433" s="204"/>
      <c r="F433" s="204"/>
      <c r="G433" s="204"/>
    </row>
    <row r="434" spans="1:7" ht="12.75">
      <c r="A434" s="251"/>
      <c r="B434" s="204"/>
      <c r="C434" s="204"/>
      <c r="D434" s="204"/>
      <c r="E434" s="204"/>
      <c r="F434" s="204"/>
      <c r="G434" s="204"/>
    </row>
    <row r="435" spans="1:7" ht="12.75">
      <c r="A435" s="251"/>
      <c r="B435" s="204"/>
      <c r="C435" s="204"/>
      <c r="D435" s="204"/>
      <c r="E435" s="204"/>
      <c r="F435" s="204"/>
      <c r="G435" s="204"/>
    </row>
    <row r="436" spans="1:7" ht="12.75">
      <c r="A436" s="251"/>
      <c r="B436" s="204"/>
      <c r="C436" s="204"/>
      <c r="D436" s="204"/>
      <c r="E436" s="204"/>
      <c r="F436" s="204"/>
      <c r="G436" s="204"/>
    </row>
    <row r="437" spans="1:7" ht="12.75">
      <c r="A437" s="251"/>
      <c r="B437" s="204"/>
      <c r="C437" s="204"/>
      <c r="D437" s="204"/>
      <c r="E437" s="204"/>
      <c r="F437" s="204"/>
      <c r="G437" s="204"/>
    </row>
    <row r="438" spans="1:7" ht="12.75">
      <c r="A438" s="251"/>
      <c r="B438" s="204"/>
      <c r="C438" s="204"/>
      <c r="D438" s="204"/>
      <c r="E438" s="204"/>
      <c r="F438" s="204"/>
      <c r="G438" s="204"/>
    </row>
    <row r="439" spans="1:7" ht="12.75">
      <c r="A439" s="251"/>
      <c r="B439" s="204"/>
      <c r="C439" s="204"/>
      <c r="D439" s="204"/>
      <c r="E439" s="204"/>
      <c r="F439" s="204"/>
      <c r="G439" s="204"/>
    </row>
    <row r="440" spans="1:7" ht="12.75">
      <c r="A440" s="251"/>
      <c r="B440" s="204"/>
      <c r="C440" s="204"/>
      <c r="D440" s="204"/>
      <c r="E440" s="204"/>
      <c r="F440" s="204"/>
      <c r="G440" s="204"/>
    </row>
    <row r="441" spans="1:7" ht="12.75">
      <c r="A441" s="251"/>
      <c r="B441" s="204"/>
      <c r="C441" s="204"/>
      <c r="D441" s="204"/>
      <c r="E441" s="204"/>
      <c r="F441" s="204"/>
      <c r="G441" s="204"/>
    </row>
    <row r="442" spans="1:7" ht="12.75">
      <c r="A442" s="251"/>
      <c r="B442" s="204"/>
      <c r="C442" s="204"/>
      <c r="D442" s="204"/>
      <c r="E442" s="204"/>
      <c r="F442" s="204"/>
      <c r="G442" s="204"/>
    </row>
    <row r="443" spans="1:7" ht="12.75">
      <c r="A443" s="251"/>
      <c r="B443" s="204"/>
      <c r="C443" s="204"/>
      <c r="D443" s="204"/>
      <c r="E443" s="204"/>
      <c r="F443" s="204"/>
      <c r="G443" s="204"/>
    </row>
    <row r="444" spans="1:7" ht="12.75">
      <c r="A444" s="251"/>
      <c r="B444" s="204"/>
      <c r="C444" s="204"/>
      <c r="D444" s="204"/>
      <c r="E444" s="204"/>
      <c r="F444" s="204"/>
      <c r="G444" s="204"/>
    </row>
    <row r="445" spans="1:7" ht="12.75">
      <c r="A445" s="251"/>
      <c r="B445" s="204"/>
      <c r="C445" s="204"/>
      <c r="D445" s="204"/>
      <c r="E445" s="204"/>
      <c r="F445" s="204"/>
      <c r="G445" s="204"/>
    </row>
    <row r="446" spans="1:7" ht="12.75">
      <c r="A446" s="251"/>
      <c r="B446" s="204"/>
      <c r="C446" s="204"/>
      <c r="D446" s="204"/>
      <c r="E446" s="204"/>
      <c r="F446" s="204"/>
      <c r="G446" s="204"/>
    </row>
    <row r="447" spans="1:7" ht="12.75">
      <c r="A447" s="251"/>
      <c r="B447" s="204"/>
      <c r="C447" s="204"/>
      <c r="D447" s="204"/>
      <c r="E447" s="204"/>
      <c r="F447" s="204"/>
      <c r="G447" s="204"/>
    </row>
    <row r="448" spans="1:7" ht="12.75">
      <c r="A448" s="251"/>
      <c r="B448" s="204"/>
      <c r="C448" s="204"/>
      <c r="D448" s="204"/>
      <c r="E448" s="204"/>
      <c r="F448" s="204"/>
      <c r="G448" s="204"/>
    </row>
    <row r="449" spans="1:7" ht="12.75">
      <c r="A449" s="251"/>
      <c r="B449" s="204"/>
      <c r="C449" s="204"/>
      <c r="D449" s="204"/>
      <c r="E449" s="204"/>
      <c r="F449" s="204"/>
      <c r="G449" s="204"/>
    </row>
    <row r="450" spans="1:7" ht="12.75">
      <c r="A450" s="251"/>
      <c r="B450" s="204"/>
      <c r="C450" s="204"/>
      <c r="D450" s="204"/>
      <c r="E450" s="204"/>
      <c r="F450" s="204"/>
      <c r="G450" s="204"/>
    </row>
    <row r="451" spans="1:7" ht="12.75">
      <c r="A451" s="251"/>
      <c r="B451" s="204"/>
      <c r="C451" s="204"/>
      <c r="D451" s="204"/>
      <c r="E451" s="204"/>
      <c r="F451" s="204"/>
      <c r="G451" s="204"/>
    </row>
    <row r="452" spans="1:7" ht="12.75">
      <c r="A452" s="251"/>
      <c r="B452" s="204"/>
      <c r="C452" s="204"/>
      <c r="D452" s="204"/>
      <c r="E452" s="204"/>
      <c r="F452" s="204"/>
      <c r="G452" s="204"/>
    </row>
    <row r="453" spans="1:7" ht="12.75">
      <c r="A453" s="251"/>
      <c r="B453" s="204"/>
      <c r="C453" s="204"/>
      <c r="D453" s="204"/>
      <c r="E453" s="204"/>
      <c r="F453" s="204"/>
      <c r="G453" s="204"/>
    </row>
    <row r="454" spans="1:7" ht="12.75">
      <c r="A454" s="251"/>
      <c r="B454" s="204"/>
      <c r="C454" s="204"/>
      <c r="D454" s="204"/>
      <c r="E454" s="204"/>
      <c r="F454" s="204"/>
      <c r="G454" s="204"/>
    </row>
    <row r="455" spans="1:7" ht="12.75">
      <c r="A455" s="251"/>
      <c r="B455" s="204"/>
      <c r="C455" s="204"/>
      <c r="D455" s="204"/>
      <c r="E455" s="204"/>
      <c r="F455" s="204"/>
      <c r="G455" s="204"/>
    </row>
    <row r="456" spans="1:7" ht="12.75">
      <c r="A456" s="251"/>
      <c r="B456" s="204"/>
      <c r="C456" s="204"/>
      <c r="D456" s="204"/>
      <c r="E456" s="204"/>
      <c r="F456" s="204"/>
      <c r="G456" s="204"/>
    </row>
    <row r="457" spans="1:7" ht="12.75">
      <c r="A457" s="251"/>
      <c r="B457" s="204"/>
      <c r="C457" s="204"/>
      <c r="D457" s="204"/>
      <c r="E457" s="204"/>
      <c r="F457" s="204"/>
      <c r="G457" s="204"/>
    </row>
    <row r="458" spans="1:7" ht="12.75">
      <c r="A458" s="251"/>
      <c r="B458" s="204"/>
      <c r="C458" s="204"/>
      <c r="D458" s="204"/>
      <c r="E458" s="204"/>
      <c r="F458" s="204"/>
      <c r="G458" s="204"/>
    </row>
    <row r="459" spans="1:7" ht="12.75">
      <c r="A459" s="251"/>
      <c r="B459" s="204"/>
      <c r="C459" s="204"/>
      <c r="D459" s="204"/>
      <c r="E459" s="204"/>
      <c r="F459" s="204"/>
      <c r="G459" s="204"/>
    </row>
    <row r="460" spans="1:7" ht="12.75">
      <c r="A460" s="251"/>
      <c r="B460" s="204"/>
      <c r="C460" s="204"/>
      <c r="D460" s="204"/>
      <c r="E460" s="204"/>
      <c r="F460" s="204"/>
      <c r="G460" s="204"/>
    </row>
    <row r="461" spans="1:7" ht="12.75">
      <c r="A461" s="251"/>
      <c r="B461" s="204"/>
      <c r="C461" s="204"/>
      <c r="D461" s="204"/>
      <c r="E461" s="204"/>
      <c r="F461" s="204"/>
      <c r="G461" s="204"/>
    </row>
    <row r="462" spans="1:7" ht="12.75">
      <c r="A462" s="251"/>
      <c r="B462" s="204"/>
      <c r="C462" s="204"/>
      <c r="D462" s="204"/>
      <c r="E462" s="204"/>
      <c r="F462" s="204"/>
      <c r="G462" s="204"/>
    </row>
    <row r="463" spans="1:7" ht="12.75">
      <c r="A463" s="251"/>
      <c r="B463" s="204"/>
      <c r="C463" s="204"/>
      <c r="D463" s="204"/>
      <c r="E463" s="204"/>
      <c r="F463" s="204"/>
      <c r="G463" s="204"/>
    </row>
    <row r="464" spans="1:7" ht="12.75">
      <c r="A464" s="251"/>
      <c r="B464" s="204"/>
      <c r="C464" s="204"/>
      <c r="D464" s="204"/>
      <c r="E464" s="204"/>
      <c r="F464" s="204"/>
      <c r="G464" s="204"/>
    </row>
    <row r="465" spans="1:7" ht="12.75">
      <c r="A465" s="251"/>
      <c r="B465" s="204"/>
      <c r="C465" s="204"/>
      <c r="D465" s="204"/>
      <c r="E465" s="204"/>
      <c r="F465" s="204"/>
      <c r="G465" s="204"/>
    </row>
    <row r="466" spans="1:7" ht="12.75">
      <c r="A466" s="251"/>
      <c r="B466" s="204"/>
      <c r="C466" s="204"/>
      <c r="D466" s="204"/>
      <c r="E466" s="204"/>
      <c r="F466" s="204"/>
      <c r="G466" s="204"/>
    </row>
    <row r="467" spans="1:7" ht="12.75">
      <c r="A467" s="251"/>
      <c r="B467" s="204"/>
      <c r="C467" s="204"/>
      <c r="D467" s="204"/>
      <c r="E467" s="204"/>
      <c r="F467" s="204"/>
      <c r="G467" s="204"/>
    </row>
    <row r="468" spans="1:7" ht="12.75">
      <c r="A468" s="251"/>
      <c r="B468" s="204"/>
      <c r="C468" s="204"/>
      <c r="D468" s="204"/>
      <c r="E468" s="204"/>
      <c r="F468" s="204"/>
      <c r="G468" s="204"/>
    </row>
    <row r="469" spans="1:7" ht="12.75">
      <c r="A469" s="251"/>
      <c r="B469" s="204"/>
      <c r="C469" s="204"/>
      <c r="D469" s="204"/>
      <c r="E469" s="204"/>
      <c r="F469" s="204"/>
      <c r="G469" s="204"/>
    </row>
    <row r="470" spans="1:7" ht="12.75">
      <c r="A470" s="251"/>
      <c r="B470" s="204"/>
      <c r="C470" s="204"/>
      <c r="D470" s="204"/>
      <c r="E470" s="204"/>
      <c r="F470" s="204"/>
      <c r="G470" s="204"/>
    </row>
    <row r="471" spans="1:7" ht="12.75">
      <c r="A471" s="251"/>
      <c r="B471" s="204"/>
      <c r="C471" s="204"/>
      <c r="D471" s="204"/>
      <c r="E471" s="204"/>
      <c r="F471" s="204"/>
      <c r="G471" s="204"/>
    </row>
    <row r="472" spans="1:7" ht="12.75">
      <c r="A472" s="251"/>
      <c r="B472" s="204"/>
      <c r="C472" s="204"/>
      <c r="D472" s="204"/>
      <c r="E472" s="204"/>
      <c r="F472" s="204"/>
      <c r="G472" s="204"/>
    </row>
    <row r="473" spans="1:7" ht="12.75">
      <c r="A473" s="251"/>
      <c r="B473" s="204"/>
      <c r="C473" s="204"/>
      <c r="D473" s="204"/>
      <c r="E473" s="204"/>
      <c r="F473" s="204"/>
      <c r="G473" s="204"/>
    </row>
    <row r="474" spans="1:7" ht="12.75">
      <c r="A474" s="251"/>
      <c r="B474" s="204"/>
      <c r="C474" s="204"/>
      <c r="D474" s="204"/>
      <c r="E474" s="204"/>
      <c r="F474" s="204"/>
      <c r="G474" s="204"/>
    </row>
    <row r="475" spans="1:7" ht="12.75">
      <c r="A475" s="251"/>
      <c r="B475" s="204"/>
      <c r="C475" s="204"/>
      <c r="D475" s="204"/>
      <c r="E475" s="204"/>
      <c r="F475" s="204"/>
      <c r="G475" s="204"/>
    </row>
    <row r="476" spans="1:7" ht="12.75">
      <c r="A476" s="251"/>
      <c r="B476" s="204"/>
      <c r="C476" s="204"/>
      <c r="D476" s="204"/>
      <c r="E476" s="204"/>
      <c r="F476" s="204"/>
      <c r="G476" s="204"/>
    </row>
    <row r="477" spans="1:7" ht="12.75">
      <c r="A477" s="251"/>
      <c r="B477" s="204"/>
      <c r="C477" s="204"/>
      <c r="D477" s="204"/>
      <c r="E477" s="204"/>
      <c r="F477" s="204"/>
      <c r="G477" s="204"/>
    </row>
    <row r="478" spans="1:7" ht="12.75">
      <c r="A478" s="251"/>
      <c r="B478" s="204"/>
      <c r="C478" s="204"/>
      <c r="D478" s="204"/>
      <c r="E478" s="204"/>
      <c r="F478" s="204"/>
      <c r="G478" s="204"/>
    </row>
    <row r="479" spans="1:7" ht="12.75">
      <c r="A479" s="251"/>
      <c r="B479" s="204"/>
      <c r="C479" s="204"/>
      <c r="D479" s="204"/>
      <c r="E479" s="204"/>
      <c r="F479" s="204"/>
      <c r="G479" s="204"/>
    </row>
    <row r="480" spans="1:7" ht="12.75">
      <c r="A480" s="251"/>
      <c r="B480" s="204"/>
      <c r="C480" s="204"/>
      <c r="D480" s="204"/>
      <c r="E480" s="204"/>
      <c r="F480" s="204"/>
      <c r="G480" s="204"/>
    </row>
    <row r="481" spans="1:7" ht="12.75">
      <c r="A481" s="251"/>
      <c r="B481" s="204"/>
      <c r="C481" s="204"/>
      <c r="D481" s="204"/>
      <c r="E481" s="204"/>
      <c r="F481" s="204"/>
      <c r="G481" s="204"/>
    </row>
    <row r="482" spans="1:7" ht="12.75">
      <c r="A482" s="251"/>
      <c r="B482" s="204"/>
      <c r="C482" s="204"/>
      <c r="D482" s="204"/>
      <c r="E482" s="204"/>
      <c r="F482" s="204"/>
      <c r="G482" s="204"/>
    </row>
    <row r="483" spans="1:7" ht="12.75">
      <c r="A483" s="251"/>
      <c r="B483" s="204"/>
      <c r="C483" s="204"/>
      <c r="D483" s="204"/>
      <c r="E483" s="204"/>
      <c r="F483" s="204"/>
      <c r="G483" s="204"/>
    </row>
    <row r="484" spans="1:7" ht="12.75">
      <c r="A484" s="251"/>
      <c r="B484" s="204"/>
      <c r="C484" s="204"/>
      <c r="D484" s="204"/>
      <c r="E484" s="204"/>
      <c r="F484" s="204"/>
      <c r="G484" s="204"/>
    </row>
    <row r="485" spans="1:7" ht="12.75">
      <c r="A485" s="251"/>
      <c r="B485" s="204"/>
      <c r="C485" s="204"/>
      <c r="D485" s="204"/>
      <c r="E485" s="204"/>
      <c r="F485" s="204"/>
      <c r="G485" s="204"/>
    </row>
    <row r="486" spans="1:7" ht="12.75">
      <c r="A486" s="251"/>
      <c r="B486" s="204"/>
      <c r="C486" s="204"/>
      <c r="D486" s="204"/>
      <c r="E486" s="204"/>
      <c r="F486" s="204"/>
      <c r="G486" s="204"/>
    </row>
    <row r="487" spans="1:7" ht="12.75">
      <c r="A487" s="251"/>
      <c r="B487" s="204"/>
      <c r="C487" s="204"/>
      <c r="D487" s="204"/>
      <c r="E487" s="204"/>
      <c r="F487" s="204"/>
      <c r="G487" s="204"/>
    </row>
    <row r="488" spans="1:7" ht="12.75">
      <c r="A488" s="251"/>
      <c r="B488" s="204"/>
      <c r="C488" s="204"/>
      <c r="D488" s="204"/>
      <c r="E488" s="204"/>
      <c r="F488" s="204"/>
      <c r="G488" s="204"/>
    </row>
    <row r="489" spans="1:7" ht="12.75">
      <c r="A489" s="251"/>
      <c r="B489" s="204"/>
      <c r="C489" s="204"/>
      <c r="D489" s="204"/>
      <c r="E489" s="204"/>
      <c r="F489" s="204"/>
      <c r="G489" s="204"/>
    </row>
    <row r="490" spans="1:7" ht="12.75">
      <c r="A490" s="251"/>
      <c r="B490" s="204"/>
      <c r="C490" s="204"/>
      <c r="D490" s="204"/>
      <c r="E490" s="204"/>
      <c r="F490" s="204"/>
      <c r="G490" s="204"/>
    </row>
    <row r="491" spans="1:7" ht="12.75">
      <c r="A491" s="251"/>
      <c r="B491" s="204"/>
      <c r="C491" s="204"/>
      <c r="D491" s="204"/>
      <c r="E491" s="204"/>
      <c r="F491" s="204"/>
      <c r="G491" s="204"/>
    </row>
    <row r="492" spans="1:7" ht="12.75">
      <c r="A492" s="251"/>
      <c r="B492" s="204"/>
      <c r="C492" s="204"/>
      <c r="D492" s="204"/>
      <c r="E492" s="204"/>
      <c r="F492" s="204"/>
      <c r="G492" s="204"/>
    </row>
    <row r="493" spans="1:7" ht="12.75">
      <c r="A493" s="251"/>
      <c r="B493" s="204"/>
      <c r="C493" s="204"/>
      <c r="D493" s="204"/>
      <c r="E493" s="204"/>
      <c r="F493" s="204"/>
      <c r="G493" s="204"/>
    </row>
    <row r="494" spans="1:7" ht="12.75">
      <c r="A494" s="251"/>
      <c r="B494" s="204"/>
      <c r="C494" s="204"/>
      <c r="D494" s="204"/>
      <c r="E494" s="204"/>
      <c r="F494" s="204"/>
      <c r="G494" s="204"/>
    </row>
    <row r="495" spans="1:7" ht="12.75">
      <c r="A495" s="251"/>
      <c r="B495" s="204"/>
      <c r="C495" s="204"/>
      <c r="D495" s="204"/>
      <c r="E495" s="204"/>
      <c r="F495" s="204"/>
      <c r="G495" s="204"/>
    </row>
    <row r="496" spans="1:7" ht="12.75">
      <c r="A496" s="251"/>
      <c r="B496" s="204"/>
      <c r="C496" s="204"/>
      <c r="D496" s="204"/>
      <c r="E496" s="204"/>
      <c r="F496" s="204"/>
      <c r="G496" s="204"/>
    </row>
    <row r="497" spans="1:7" ht="12.75">
      <c r="A497" s="251"/>
      <c r="B497" s="204"/>
      <c r="C497" s="204"/>
      <c r="D497" s="204"/>
      <c r="E497" s="204"/>
      <c r="F497" s="204"/>
      <c r="G497" s="204"/>
    </row>
    <row r="498" spans="1:7" ht="12.75">
      <c r="A498" s="251"/>
      <c r="B498" s="204"/>
      <c r="C498" s="204"/>
      <c r="D498" s="204"/>
      <c r="E498" s="204"/>
      <c r="F498" s="204"/>
      <c r="G498" s="204"/>
    </row>
    <row r="499" spans="1:7" ht="12.75">
      <c r="A499" s="251"/>
      <c r="B499" s="204"/>
      <c r="C499" s="204"/>
      <c r="D499" s="204"/>
      <c r="E499" s="204"/>
      <c r="F499" s="204"/>
      <c r="G499" s="204"/>
    </row>
    <row r="500" spans="1:7" ht="12.75">
      <c r="A500" s="251"/>
      <c r="B500" s="204"/>
      <c r="C500" s="204"/>
      <c r="D500" s="204"/>
      <c r="E500" s="204"/>
      <c r="F500" s="204"/>
      <c r="G500" s="204"/>
    </row>
    <row r="501" spans="1:7" ht="12.75">
      <c r="A501" s="251"/>
      <c r="B501" s="204"/>
      <c r="C501" s="204"/>
      <c r="D501" s="204"/>
      <c r="E501" s="204"/>
      <c r="F501" s="204"/>
      <c r="G501" s="204"/>
    </row>
    <row r="502" spans="1:7" ht="12.75">
      <c r="A502" s="251"/>
      <c r="B502" s="204"/>
      <c r="C502" s="204"/>
      <c r="D502" s="204"/>
      <c r="E502" s="204"/>
      <c r="F502" s="204"/>
      <c r="G502" s="204"/>
    </row>
    <row r="503" spans="1:7" ht="12.75">
      <c r="A503" s="251"/>
      <c r="B503" s="204"/>
      <c r="C503" s="204"/>
      <c r="D503" s="204"/>
      <c r="E503" s="204"/>
      <c r="F503" s="204"/>
      <c r="G503" s="204"/>
    </row>
    <row r="504" spans="1:7" ht="12.75">
      <c r="A504" s="251"/>
      <c r="B504" s="204"/>
      <c r="C504" s="204"/>
      <c r="D504" s="204"/>
      <c r="E504" s="204"/>
      <c r="F504" s="204"/>
      <c r="G504" s="204"/>
    </row>
    <row r="505" spans="1:7" ht="12.75">
      <c r="A505" s="251"/>
      <c r="B505" s="204"/>
      <c r="C505" s="204"/>
      <c r="D505" s="204"/>
      <c r="E505" s="204"/>
      <c r="F505" s="204"/>
      <c r="G505" s="204"/>
    </row>
    <row r="506" spans="1:7" ht="12.75">
      <c r="A506" s="251"/>
      <c r="B506" s="204"/>
      <c r="C506" s="204"/>
      <c r="D506" s="204"/>
      <c r="E506" s="204"/>
      <c r="F506" s="204"/>
      <c r="G506" s="204"/>
    </row>
    <row r="507" spans="1:7" ht="12.75">
      <c r="A507" s="251"/>
      <c r="B507" s="204"/>
      <c r="C507" s="204"/>
      <c r="D507" s="204"/>
      <c r="E507" s="204"/>
      <c r="F507" s="204"/>
      <c r="G507" s="204"/>
    </row>
    <row r="508" spans="1:7" ht="12.75">
      <c r="A508" s="251"/>
      <c r="B508" s="204"/>
      <c r="C508" s="204"/>
      <c r="D508" s="204"/>
      <c r="E508" s="204"/>
      <c r="F508" s="204"/>
      <c r="G508" s="204"/>
    </row>
    <row r="509" spans="1:7" ht="12.75">
      <c r="A509" s="251"/>
      <c r="B509" s="251"/>
      <c r="C509" s="251"/>
      <c r="D509" s="251"/>
      <c r="E509" s="251"/>
      <c r="F509" s="251"/>
      <c r="G509" s="251"/>
    </row>
    <row r="510" spans="1:7" ht="12.75">
      <c r="A510" s="251"/>
      <c r="B510" s="251"/>
      <c r="C510" s="251"/>
      <c r="D510" s="251"/>
      <c r="E510" s="251"/>
      <c r="F510" s="251"/>
      <c r="G510" s="251"/>
    </row>
    <row r="511" spans="1:7" ht="12.75">
      <c r="A511" s="251"/>
      <c r="B511" s="251"/>
      <c r="C511" s="251"/>
      <c r="D511" s="251"/>
      <c r="E511" s="251"/>
      <c r="F511" s="251"/>
      <c r="G511" s="251"/>
    </row>
    <row r="512" spans="1:7" ht="12.75">
      <c r="A512" s="251"/>
      <c r="B512" s="251"/>
      <c r="C512" s="251"/>
      <c r="D512" s="251"/>
      <c r="E512" s="251"/>
      <c r="F512" s="251"/>
      <c r="G512" s="251"/>
    </row>
    <row r="513" spans="1:7" ht="12.75">
      <c r="A513" s="251"/>
      <c r="B513" s="251"/>
      <c r="C513" s="251"/>
      <c r="D513" s="251"/>
      <c r="E513" s="251"/>
      <c r="F513" s="251"/>
      <c r="G513" s="251"/>
    </row>
    <row r="514" spans="1:7" ht="12.75">
      <c r="A514" s="251"/>
      <c r="B514" s="251"/>
      <c r="C514" s="251"/>
      <c r="D514" s="251"/>
      <c r="E514" s="251"/>
      <c r="F514" s="251"/>
      <c r="G514" s="251"/>
    </row>
    <row r="515" spans="1:7" ht="12.75">
      <c r="A515" s="251"/>
      <c r="B515" s="251"/>
      <c r="C515" s="251"/>
      <c r="D515" s="251"/>
      <c r="E515" s="251"/>
      <c r="F515" s="251"/>
      <c r="G515" s="251"/>
    </row>
    <row r="516" spans="1:7" ht="12.75">
      <c r="A516" s="251"/>
      <c r="B516" s="251"/>
      <c r="C516" s="251"/>
      <c r="D516" s="251"/>
      <c r="E516" s="251"/>
      <c r="F516" s="251"/>
      <c r="G516" s="251"/>
    </row>
    <row r="517" spans="1:7" ht="12.75">
      <c r="A517" s="251"/>
      <c r="B517" s="251"/>
      <c r="C517" s="251"/>
      <c r="D517" s="251"/>
      <c r="E517" s="251"/>
      <c r="F517" s="251"/>
      <c r="G517" s="251"/>
    </row>
    <row r="518" spans="1:7" ht="12.75">
      <c r="A518" s="251"/>
      <c r="B518" s="251"/>
      <c r="C518" s="251"/>
      <c r="D518" s="251"/>
      <c r="E518" s="251"/>
      <c r="F518" s="251"/>
      <c r="G518" s="251"/>
    </row>
    <row r="519" spans="1:7" ht="12.75">
      <c r="A519" s="251"/>
      <c r="B519" s="251"/>
      <c r="C519" s="251"/>
      <c r="D519" s="251"/>
      <c r="E519" s="251"/>
      <c r="F519" s="251"/>
      <c r="G519" s="251"/>
    </row>
    <row r="520" spans="1:7" ht="12.75">
      <c r="A520" s="251"/>
      <c r="B520" s="251"/>
      <c r="C520" s="251"/>
      <c r="D520" s="251"/>
      <c r="E520" s="251"/>
      <c r="F520" s="251"/>
      <c r="G520" s="251"/>
    </row>
  </sheetData>
  <sheetProtection password="C3AC" sheet="1" objects="1" scenarios="1"/>
  <mergeCells count="11">
    <mergeCell ref="H11:J11"/>
    <mergeCell ref="E11:G11"/>
    <mergeCell ref="A11:A12"/>
    <mergeCell ref="A7:B7"/>
    <mergeCell ref="A6:B6"/>
    <mergeCell ref="B11:D11"/>
    <mergeCell ref="A4:D4"/>
    <mergeCell ref="C7:D7"/>
    <mergeCell ref="C6:D6"/>
    <mergeCell ref="C5:D5"/>
    <mergeCell ref="A5:B5"/>
  </mergeCells>
  <printOptions/>
  <pageMargins left="0.7" right="0.7" top="0.75" bottom="0.75" header="0.3" footer="0.3"/>
  <pageSetup fitToHeight="0" fitToWidth="1" horizontalDpi="1200" verticalDpi="1200" orientation="landscape" scale="72"/>
  <headerFooter>
    <oddFooter>&amp;C&amp;G</oddFooter>
  </headerFooter>
  <legacyDrawingHF r:id="rId1"/>
</worksheet>
</file>

<file path=xl/worksheets/sheet11.xml><?xml version="1.0" encoding="utf-8"?>
<worksheet xmlns="http://schemas.openxmlformats.org/spreadsheetml/2006/main" xmlns:r="http://schemas.openxmlformats.org/officeDocument/2006/relationships">
  <sheetPr codeName="Sheet2">
    <pageSetUpPr fitToPage="1"/>
  </sheetPr>
  <dimension ref="A1:AX502"/>
  <sheetViews>
    <sheetView zoomScale="80" zoomScaleNormal="80" zoomScalePageLayoutView="60" workbookViewId="0" topLeftCell="A1">
      <selection activeCell="A3" sqref="A3"/>
    </sheetView>
  </sheetViews>
  <sheetFormatPr defaultColWidth="9.140625" defaultRowHeight="12.75"/>
  <cols>
    <col min="1" max="1" width="41.421875" style="287" customWidth="1"/>
    <col min="2" max="4" width="20.7109375" style="287" customWidth="1"/>
    <col min="5" max="10" width="16.7109375" style="287" customWidth="1"/>
    <col min="11" max="11" width="14.7109375" style="284" customWidth="1"/>
    <col min="12" max="12" width="13.7109375" style="284" customWidth="1"/>
    <col min="13" max="13" width="11.8515625" style="284" customWidth="1"/>
    <col min="14" max="14" width="9.140625" style="284" customWidth="1"/>
    <col min="15" max="16384" width="9.140625" style="287" customWidth="1"/>
  </cols>
  <sheetData>
    <row r="1" spans="1:23" s="128" customFormat="1" ht="27" customHeight="1" thickBot="1" thickTop="1">
      <c r="A1" s="563" t="s">
        <v>685</v>
      </c>
      <c r="B1" s="563"/>
      <c r="C1" s="563"/>
      <c r="D1" s="563"/>
      <c r="E1" s="563"/>
      <c r="F1" s="563"/>
      <c r="G1" s="563"/>
      <c r="H1" s="563"/>
      <c r="I1" s="563"/>
      <c r="J1" s="563"/>
      <c r="M1" s="552" t="s">
        <v>700</v>
      </c>
      <c r="N1" s="552"/>
      <c r="O1" s="552"/>
      <c r="P1" s="552"/>
      <c r="Q1" s="552"/>
      <c r="R1" s="552"/>
      <c r="S1" s="552"/>
      <c r="T1" s="552"/>
      <c r="U1" s="552"/>
      <c r="V1" s="552"/>
      <c r="W1" s="552"/>
    </row>
    <row r="2" spans="1:23" s="128" customFormat="1" ht="13.5" thickTop="1">
      <c r="A2" s="521" t="s">
        <v>0</v>
      </c>
      <c r="B2" s="521"/>
      <c r="C2" s="521"/>
      <c r="D2" s="521"/>
      <c r="E2" s="521"/>
      <c r="F2" s="521"/>
      <c r="G2" s="521"/>
      <c r="H2" s="521"/>
      <c r="I2" s="521"/>
      <c r="J2" s="521"/>
      <c r="M2" s="320"/>
      <c r="N2" s="321"/>
      <c r="O2" s="321"/>
      <c r="P2" s="321"/>
      <c r="Q2" s="321"/>
      <c r="R2" s="321"/>
      <c r="S2" s="321"/>
      <c r="T2" s="321"/>
      <c r="U2" s="321"/>
      <c r="V2" s="321"/>
      <c r="W2" s="322"/>
    </row>
    <row r="3" spans="1:23" s="128" customFormat="1" ht="12.75">
      <c r="A3" s="205" t="s">
        <v>414</v>
      </c>
      <c r="B3" s="564" t="str">
        <f>'Project Information'!B3</f>
        <v>Practical Case Study</v>
      </c>
      <c r="C3" s="565"/>
      <c r="D3" s="565"/>
      <c r="E3" s="565"/>
      <c r="F3" s="565"/>
      <c r="G3" s="565"/>
      <c r="H3" s="565"/>
      <c r="I3" s="565"/>
      <c r="J3" s="565"/>
      <c r="M3" s="323"/>
      <c r="N3" s="324"/>
      <c r="O3" s="324"/>
      <c r="P3" s="324"/>
      <c r="Q3" s="324"/>
      <c r="R3" s="324"/>
      <c r="S3" s="324"/>
      <c r="T3" s="324"/>
      <c r="U3" s="324"/>
      <c r="V3" s="324"/>
      <c r="W3" s="325"/>
    </row>
    <row r="4" spans="1:23" s="128" customFormat="1" ht="13.9" customHeight="1">
      <c r="A4" s="293" t="s">
        <v>415</v>
      </c>
      <c r="B4" s="523" t="str">
        <f>'Project Information'!B4</f>
        <v>Three Signalized Intersections</v>
      </c>
      <c r="C4" s="524"/>
      <c r="D4" s="524"/>
      <c r="E4" s="524"/>
      <c r="F4" s="524"/>
      <c r="G4" s="524"/>
      <c r="H4" s="524"/>
      <c r="I4" s="524"/>
      <c r="J4" s="524"/>
      <c r="M4" s="323"/>
      <c r="N4" s="324"/>
      <c r="O4" s="324"/>
      <c r="P4" s="324"/>
      <c r="Q4" s="324"/>
      <c r="R4" s="324"/>
      <c r="S4" s="324"/>
      <c r="T4" s="324"/>
      <c r="U4" s="324"/>
      <c r="V4" s="324"/>
      <c r="W4" s="325"/>
    </row>
    <row r="5" spans="1:23" s="128" customFormat="1" ht="12.75">
      <c r="A5" s="292" t="s">
        <v>417</v>
      </c>
      <c r="B5" s="523" t="str">
        <f>'Project Information'!B5</f>
        <v>STARS Report A-1</v>
      </c>
      <c r="C5" s="524"/>
      <c r="D5" s="524"/>
      <c r="E5" s="524"/>
      <c r="F5" s="524"/>
      <c r="G5" s="524"/>
      <c r="H5" s="524"/>
      <c r="I5" s="524"/>
      <c r="J5" s="524"/>
      <c r="M5" s="323"/>
      <c r="N5" s="324"/>
      <c r="O5" s="324"/>
      <c r="P5" s="324"/>
      <c r="Q5" s="324"/>
      <c r="R5" s="324"/>
      <c r="S5" s="324"/>
      <c r="T5" s="324"/>
      <c r="U5" s="324"/>
      <c r="V5" s="324"/>
      <c r="W5" s="325"/>
    </row>
    <row r="6" spans="1:23" s="128" customFormat="1" ht="12.75">
      <c r="A6" s="292" t="s">
        <v>1</v>
      </c>
      <c r="B6" s="523" t="str">
        <f>'Project Information'!B6</f>
        <v>John Smith</v>
      </c>
      <c r="C6" s="524"/>
      <c r="D6" s="524"/>
      <c r="E6" s="524"/>
      <c r="F6" s="524"/>
      <c r="G6" s="524"/>
      <c r="H6" s="524"/>
      <c r="I6" s="524"/>
      <c r="J6" s="524"/>
      <c r="M6" s="323"/>
      <c r="N6" s="324"/>
      <c r="O6" s="324"/>
      <c r="P6" s="324"/>
      <c r="Q6" s="324"/>
      <c r="R6" s="324"/>
      <c r="S6" s="324"/>
      <c r="T6" s="324"/>
      <c r="U6" s="324"/>
      <c r="V6" s="324"/>
      <c r="W6" s="325"/>
    </row>
    <row r="7" spans="1:23" s="128" customFormat="1" ht="12.75">
      <c r="A7" s="292" t="s">
        <v>416</v>
      </c>
      <c r="B7" s="523" t="str">
        <f>'Project Information'!B7</f>
        <v>ABC Company</v>
      </c>
      <c r="C7" s="524"/>
      <c r="D7" s="524"/>
      <c r="E7" s="524"/>
      <c r="F7" s="524"/>
      <c r="G7" s="524"/>
      <c r="H7" s="524"/>
      <c r="I7" s="524"/>
      <c r="J7" s="524"/>
      <c r="M7" s="323"/>
      <c r="N7" s="324"/>
      <c r="O7" s="324"/>
      <c r="P7" s="324"/>
      <c r="Q7" s="324"/>
      <c r="R7" s="324"/>
      <c r="S7" s="324"/>
      <c r="T7" s="324"/>
      <c r="U7" s="324"/>
      <c r="V7" s="324"/>
      <c r="W7" s="325"/>
    </row>
    <row r="8" spans="1:23" s="128" customFormat="1" ht="12.75">
      <c r="A8" s="292" t="s">
        <v>418</v>
      </c>
      <c r="B8" s="523" t="str">
        <f>'Project Information'!F3</f>
        <v>email</v>
      </c>
      <c r="C8" s="524"/>
      <c r="D8" s="524"/>
      <c r="E8" s="524"/>
      <c r="F8" s="524"/>
      <c r="G8" s="524"/>
      <c r="H8" s="524"/>
      <c r="I8" s="524"/>
      <c r="J8" s="524"/>
      <c r="M8" s="323"/>
      <c r="N8" s="324"/>
      <c r="O8" s="324"/>
      <c r="P8" s="324"/>
      <c r="Q8" s="324"/>
      <c r="R8" s="324"/>
      <c r="S8" s="324"/>
      <c r="T8" s="324"/>
      <c r="U8" s="324"/>
      <c r="V8" s="324"/>
      <c r="W8" s="325"/>
    </row>
    <row r="9" spans="1:23" s="128" customFormat="1" ht="12.75">
      <c r="A9" s="292" t="s">
        <v>419</v>
      </c>
      <c r="B9" s="556">
        <f>'Project Information'!F4</f>
        <v>1234567891</v>
      </c>
      <c r="C9" s="557"/>
      <c r="D9" s="557"/>
      <c r="E9" s="557"/>
      <c r="F9" s="557"/>
      <c r="G9" s="557"/>
      <c r="H9" s="557"/>
      <c r="I9" s="557"/>
      <c r="J9" s="557"/>
      <c r="M9" s="323"/>
      <c r="N9" s="324"/>
      <c r="O9" s="324"/>
      <c r="P9" s="324"/>
      <c r="Q9" s="324"/>
      <c r="R9" s="324"/>
      <c r="S9" s="324"/>
      <c r="T9" s="324"/>
      <c r="U9" s="324"/>
      <c r="V9" s="324"/>
      <c r="W9" s="325"/>
    </row>
    <row r="10" spans="1:23" s="128" customFormat="1" ht="13.5" thickBot="1">
      <c r="A10" s="292" t="s">
        <v>413</v>
      </c>
      <c r="B10" s="1204">
        <f>'Project Information'!F5</f>
        <v>40675</v>
      </c>
      <c r="C10" s="524"/>
      <c r="D10" s="524"/>
      <c r="E10" s="524"/>
      <c r="F10" s="524"/>
      <c r="G10" s="524"/>
      <c r="H10" s="524"/>
      <c r="I10" s="524"/>
      <c r="J10" s="524"/>
      <c r="M10" s="323"/>
      <c r="N10" s="324"/>
      <c r="O10" s="324"/>
      <c r="P10" s="324"/>
      <c r="Q10" s="324"/>
      <c r="R10" s="324"/>
      <c r="S10" s="324"/>
      <c r="T10" s="324"/>
      <c r="U10" s="324"/>
      <c r="V10" s="324"/>
      <c r="W10" s="325"/>
    </row>
    <row r="11" spans="1:23" s="128" customFormat="1" ht="12.75">
      <c r="A11" s="472" t="s">
        <v>636</v>
      </c>
      <c r="B11" s="1205"/>
      <c r="C11" s="1197"/>
      <c r="D11" s="1197"/>
      <c r="E11" s="1197"/>
      <c r="F11" s="1197"/>
      <c r="G11" s="1197"/>
      <c r="H11" s="1197"/>
      <c r="I11" s="1197"/>
      <c r="J11" s="1197"/>
      <c r="M11" s="326"/>
      <c r="N11" s="327"/>
      <c r="O11" s="327"/>
      <c r="P11" s="327"/>
      <c r="Q11" s="327"/>
      <c r="R11" s="327"/>
      <c r="S11" s="328"/>
      <c r="T11" s="328"/>
      <c r="U11" s="328"/>
      <c r="V11" s="329"/>
      <c r="W11" s="330"/>
    </row>
    <row r="12" spans="1:23" s="128" customFormat="1" ht="12.75">
      <c r="A12" s="440" t="s">
        <v>637</v>
      </c>
      <c r="B12" s="1203"/>
      <c r="C12" s="1096"/>
      <c r="D12" s="1096"/>
      <c r="E12" s="1096"/>
      <c r="F12" s="1096"/>
      <c r="G12" s="1096"/>
      <c r="H12" s="1096"/>
      <c r="I12" s="1096"/>
      <c r="J12" s="1096"/>
      <c r="M12" s="331"/>
      <c r="N12" s="332"/>
      <c r="O12" s="332"/>
      <c r="P12" s="332"/>
      <c r="Q12" s="333"/>
      <c r="R12" s="333"/>
      <c r="S12" s="334"/>
      <c r="T12" s="334"/>
      <c r="U12" s="334"/>
      <c r="V12" s="329"/>
      <c r="W12" s="330"/>
    </row>
    <row r="13" spans="1:23" s="128" customFormat="1" ht="13.5" thickBot="1">
      <c r="A13" s="442" t="s">
        <v>642</v>
      </c>
      <c r="B13" s="1206"/>
      <c r="C13" s="1207"/>
      <c r="D13" s="1207"/>
      <c r="E13" s="1207"/>
      <c r="F13" s="1207"/>
      <c r="G13" s="1207"/>
      <c r="H13" s="1207"/>
      <c r="I13" s="1207"/>
      <c r="J13" s="1207"/>
      <c r="M13" s="335"/>
      <c r="N13" s="329"/>
      <c r="O13" s="334"/>
      <c r="P13" s="329"/>
      <c r="Q13" s="329"/>
      <c r="R13" s="329"/>
      <c r="S13" s="334"/>
      <c r="T13" s="334"/>
      <c r="U13" s="334"/>
      <c r="V13" s="329"/>
      <c r="W13" s="330"/>
    </row>
    <row r="14" spans="1:50" s="292" customFormat="1" ht="13.5" thickBot="1">
      <c r="A14" s="1208" t="s">
        <v>440</v>
      </c>
      <c r="B14" s="1208"/>
      <c r="C14" s="1208"/>
      <c r="D14" s="1208"/>
      <c r="E14" s="1208"/>
      <c r="F14" s="1208"/>
      <c r="G14" s="1208"/>
      <c r="H14" s="1208"/>
      <c r="I14" s="1208"/>
      <c r="J14" s="1208"/>
      <c r="K14" s="207"/>
      <c r="L14" s="151"/>
      <c r="M14" s="336"/>
      <c r="N14" s="337"/>
      <c r="O14" s="337"/>
      <c r="P14" s="337"/>
      <c r="Q14" s="337"/>
      <c r="R14" s="337"/>
      <c r="S14" s="338"/>
      <c r="T14" s="334"/>
      <c r="U14" s="338"/>
      <c r="V14" s="329"/>
      <c r="W14" s="330"/>
      <c r="AE14" s="129"/>
      <c r="AF14" s="129"/>
      <c r="AG14" s="129"/>
      <c r="AH14" s="129"/>
      <c r="AI14" s="209"/>
      <c r="AJ14" s="209"/>
      <c r="AK14" s="209"/>
      <c r="AL14" s="209"/>
      <c r="AP14" s="135"/>
      <c r="AQ14" s="135"/>
      <c r="AR14" s="135"/>
      <c r="AS14" s="135"/>
      <c r="AT14" s="135"/>
      <c r="AU14" s="135"/>
      <c r="AV14" s="135"/>
      <c r="AW14" s="135"/>
      <c r="AX14" s="135"/>
    </row>
    <row r="15" spans="1:23" ht="252.75" customHeight="1" thickBot="1">
      <c r="A15" s="283"/>
      <c r="B15" s="283"/>
      <c r="C15" s="283"/>
      <c r="D15" s="283"/>
      <c r="E15" s="283"/>
      <c r="F15" s="284"/>
      <c r="G15" s="284"/>
      <c r="H15" s="284"/>
      <c r="I15" s="284"/>
      <c r="J15" s="284"/>
      <c r="M15" s="326"/>
      <c r="N15" s="327"/>
      <c r="O15" s="327"/>
      <c r="P15" s="327"/>
      <c r="Q15" s="327"/>
      <c r="R15" s="327"/>
      <c r="S15" s="328"/>
      <c r="T15" s="328"/>
      <c r="U15" s="328"/>
      <c r="V15" s="329"/>
      <c r="W15" s="330"/>
    </row>
    <row r="16" spans="1:23" ht="21.95" customHeight="1" thickBot="1">
      <c r="A16" s="1212" t="str">
        <f>CONCATENATE(B12,"-Year Analysis Summary Report")</f>
        <v>-Year Analysis Summary Report</v>
      </c>
      <c r="B16" s="1212"/>
      <c r="C16" s="1212"/>
      <c r="D16" s="1212"/>
      <c r="E16" s="1212"/>
      <c r="F16" s="1212"/>
      <c r="G16" s="1212"/>
      <c r="H16" s="1212"/>
      <c r="I16" s="1212"/>
      <c r="J16" s="1212"/>
      <c r="M16" s="326"/>
      <c r="N16" s="327"/>
      <c r="O16" s="327"/>
      <c r="P16" s="327"/>
      <c r="Q16" s="327"/>
      <c r="R16" s="327"/>
      <c r="S16" s="328"/>
      <c r="T16" s="328"/>
      <c r="U16" s="328"/>
      <c r="V16" s="329"/>
      <c r="W16" s="330"/>
    </row>
    <row r="17" spans="1:23" ht="27" customHeight="1" thickBot="1">
      <c r="A17" s="1202" t="s">
        <v>12</v>
      </c>
      <c r="B17" s="1201" t="s">
        <v>689</v>
      </c>
      <c r="C17" s="1201"/>
      <c r="D17" s="1201"/>
      <c r="E17" s="1201" t="s">
        <v>690</v>
      </c>
      <c r="F17" s="1201"/>
      <c r="G17" s="1201"/>
      <c r="H17" s="500" t="s">
        <v>641</v>
      </c>
      <c r="I17" s="1209"/>
      <c r="J17" s="1209"/>
      <c r="K17" s="435"/>
      <c r="L17" s="351"/>
      <c r="M17" s="339"/>
      <c r="N17" s="340"/>
      <c r="O17" s="340"/>
      <c r="P17" s="340"/>
      <c r="Q17" s="340"/>
      <c r="R17" s="340"/>
      <c r="S17" s="341"/>
      <c r="T17" s="341"/>
      <c r="U17" s="341"/>
      <c r="V17" s="342"/>
      <c r="W17" s="343"/>
    </row>
    <row r="18" spans="1:14" ht="14.25" thickBot="1" thickTop="1">
      <c r="A18" s="949"/>
      <c r="B18" s="250" t="s">
        <v>438</v>
      </c>
      <c r="C18" s="250" t="s">
        <v>91</v>
      </c>
      <c r="D18" s="250" t="s">
        <v>444</v>
      </c>
      <c r="E18" s="250" t="s">
        <v>438</v>
      </c>
      <c r="F18" s="250" t="s">
        <v>91</v>
      </c>
      <c r="G18" s="250" t="s">
        <v>444</v>
      </c>
      <c r="H18" s="250" t="s">
        <v>438</v>
      </c>
      <c r="I18" s="250" t="s">
        <v>91</v>
      </c>
      <c r="J18" s="279" t="s">
        <v>444</v>
      </c>
      <c r="K18" s="295"/>
      <c r="L18" s="295"/>
      <c r="M18" s="295"/>
      <c r="N18" s="287"/>
    </row>
    <row r="19" spans="1:14" ht="12.75">
      <c r="A19" s="299">
        <f>B11</f>
        <v>0</v>
      </c>
      <c r="B19" s="352"/>
      <c r="C19" s="352"/>
      <c r="D19" s="352"/>
      <c r="E19" s="352"/>
      <c r="F19" s="352"/>
      <c r="G19" s="352"/>
      <c r="H19" s="352"/>
      <c r="I19" s="352"/>
      <c r="J19" s="366"/>
      <c r="K19" s="295"/>
      <c r="L19" s="295"/>
      <c r="M19" s="295"/>
      <c r="N19" s="287"/>
    </row>
    <row r="20" spans="1:14" ht="13.5" thickBot="1">
      <c r="A20" s="285" t="s">
        <v>31</v>
      </c>
      <c r="B20" s="300"/>
      <c r="C20" s="300"/>
      <c r="D20" s="300"/>
      <c r="E20" s="300"/>
      <c r="F20" s="300"/>
      <c r="G20" s="300"/>
      <c r="H20" s="300"/>
      <c r="I20" s="300"/>
      <c r="J20" s="301"/>
      <c r="N20" s="287"/>
    </row>
    <row r="21" spans="5:10" s="284" customFormat="1" ht="12.75">
      <c r="E21" s="204"/>
      <c r="F21" s="204"/>
      <c r="G21" s="204"/>
      <c r="H21" s="204"/>
      <c r="I21" s="204"/>
      <c r="J21" s="204"/>
    </row>
    <row r="22" spans="2:10" s="284" customFormat="1" ht="13.5" customHeight="1" thickBot="1">
      <c r="B22" s="473"/>
      <c r="C22" s="473"/>
      <c r="D22" s="473"/>
      <c r="E22" s="473"/>
      <c r="F22" s="473"/>
      <c r="G22" s="473"/>
      <c r="H22" s="473"/>
      <c r="I22" s="473"/>
      <c r="J22" s="473"/>
    </row>
    <row r="23" spans="1:10" s="284" customFormat="1" ht="30.75" customHeight="1" thickBot="1">
      <c r="A23" s="476" t="s">
        <v>715</v>
      </c>
      <c r="B23" s="477"/>
      <c r="C23" s="477"/>
      <c r="D23" s="477"/>
      <c r="E23" s="477"/>
      <c r="F23" s="477"/>
      <c r="G23" s="477"/>
      <c r="H23" s="477"/>
      <c r="I23" s="477"/>
      <c r="J23" s="477"/>
    </row>
    <row r="24" spans="1:10" s="284" customFormat="1" ht="14.25">
      <c r="A24" s="474"/>
      <c r="B24" s="474"/>
      <c r="C24" s="474"/>
      <c r="D24" s="475"/>
      <c r="E24" s="529" t="s">
        <v>713</v>
      </c>
      <c r="F24" s="529"/>
      <c r="G24" s="529" t="s">
        <v>673</v>
      </c>
      <c r="H24" s="529"/>
      <c r="I24" s="529" t="s">
        <v>627</v>
      </c>
      <c r="J24" s="530"/>
    </row>
    <row r="25" spans="1:10" s="284" customFormat="1" ht="68.25" customHeight="1">
      <c r="A25" s="297" t="s">
        <v>38</v>
      </c>
      <c r="B25" s="297"/>
      <c r="C25" s="297"/>
      <c r="D25" s="298"/>
      <c r="E25" s="531" t="str">
        <f>+CONCATENATE("Predicted average crash frequency - Average safety performance of projects consisting of similar elements (anticipated total number of crashes over ",B12," years)")</f>
        <v>Predicted average crash frequency - Average safety performance of projects consisting of similar elements (anticipated total number of crashes over  years)</v>
      </c>
      <c r="F25" s="531"/>
      <c r="G25" s="531" t="str">
        <f>+CONCATENATE("Expected average crash frequency - Average long-term safety performance of the project (anticipated total number of crashes over ",B12," years)")</f>
        <v>Expected average crash frequency - Average long-term safety performance of the project (anticipated total number of crashes over  years)</v>
      </c>
      <c r="H25" s="531"/>
      <c r="I25" s="531" t="str">
        <f>+CONCATENATE("Potential safety performance - Average project performance compared to threshold set by typical other similar projects (anticipated total number of crashes over ",B12," years)")</f>
        <v>Potential safety performance - Average project performance compared to threshold set by typical other similar projects (anticipated total number of crashes over  years)</v>
      </c>
      <c r="J25" s="532"/>
    </row>
    <row r="26" spans="1:11" s="284" customFormat="1" ht="12.75">
      <c r="A26" s="541" t="s">
        <v>686</v>
      </c>
      <c r="B26" s="542"/>
      <c r="C26" s="542"/>
      <c r="D26" s="542"/>
      <c r="E26" s="522">
        <f>+B20</f>
        <v>0</v>
      </c>
      <c r="F26" s="522"/>
      <c r="G26" s="522">
        <f>+E20</f>
        <v>0</v>
      </c>
      <c r="H26" s="522"/>
      <c r="I26" s="522" t="str">
        <f>+IF(G26&gt;E26,+G26-E26,"N/A")</f>
        <v>N/A</v>
      </c>
      <c r="J26" s="528"/>
      <c r="K26" s="286"/>
    </row>
    <row r="27" spans="1:11" s="284" customFormat="1" ht="12.75">
      <c r="A27" s="541" t="s">
        <v>687</v>
      </c>
      <c r="B27" s="542"/>
      <c r="C27" s="542"/>
      <c r="D27" s="542"/>
      <c r="E27" s="522">
        <f>+C20</f>
        <v>0</v>
      </c>
      <c r="F27" s="522"/>
      <c r="G27" s="522">
        <f>+F20</f>
        <v>0</v>
      </c>
      <c r="H27" s="522"/>
      <c r="I27" s="522" t="str">
        <f>+IF(G27&gt;E27,+G27-E27,"N/A")</f>
        <v>N/A</v>
      </c>
      <c r="J27" s="528"/>
      <c r="K27" s="286"/>
    </row>
    <row r="28" spans="1:11" s="284" customFormat="1" ht="13.5" thickBot="1">
      <c r="A28" s="539" t="s">
        <v>688</v>
      </c>
      <c r="B28" s="540"/>
      <c r="C28" s="540"/>
      <c r="D28" s="540"/>
      <c r="E28" s="547">
        <f>+D20</f>
        <v>0</v>
      </c>
      <c r="F28" s="547"/>
      <c r="G28" s="547">
        <f>+G20</f>
        <v>0</v>
      </c>
      <c r="H28" s="547"/>
      <c r="I28" s="553" t="str">
        <f>+IF(G28&gt;E28,+G28-E28,"N/A")</f>
        <v>N/A</v>
      </c>
      <c r="J28" s="554"/>
      <c r="K28" s="286"/>
    </row>
    <row r="29" spans="1:10" s="284" customFormat="1" ht="12.75">
      <c r="A29" s="210"/>
      <c r="B29" s="210"/>
      <c r="C29" s="210"/>
      <c r="D29" s="131"/>
      <c r="E29" s="214"/>
      <c r="F29" s="131"/>
      <c r="G29" s="131"/>
      <c r="H29" s="131"/>
      <c r="I29" s="292"/>
      <c r="J29" s="292"/>
    </row>
    <row r="30" spans="1:10" s="284" customFormat="1" ht="12.75">
      <c r="A30" s="210"/>
      <c r="B30" s="210"/>
      <c r="C30" s="210"/>
      <c r="D30" s="131"/>
      <c r="E30" s="214"/>
      <c r="F30" s="131"/>
      <c r="G30" s="131"/>
      <c r="H30" s="131"/>
      <c r="I30" s="292"/>
      <c r="J30" s="292"/>
    </row>
    <row r="31" spans="1:10" s="284" customFormat="1" ht="12.75">
      <c r="A31" s="293"/>
      <c r="B31" s="293"/>
      <c r="C31" s="293"/>
      <c r="D31" s="167"/>
      <c r="E31" s="215"/>
      <c r="F31" s="292"/>
      <c r="G31" s="215"/>
      <c r="H31" s="292"/>
      <c r="I31" s="292"/>
      <c r="J31" s="292"/>
    </row>
    <row r="32" spans="1:10" s="284" customFormat="1" ht="15.75">
      <c r="A32" s="216" t="s">
        <v>445</v>
      </c>
      <c r="B32" s="291"/>
      <c r="C32" s="291"/>
      <c r="D32" s="217"/>
      <c r="E32" s="291"/>
      <c r="F32" s="291"/>
      <c r="G32" s="291"/>
      <c r="H32" s="291"/>
      <c r="I32" s="292"/>
      <c r="J32" s="292"/>
    </row>
    <row r="33" spans="1:10" s="284" customFormat="1" ht="15">
      <c r="A33" s="1213" t="str">
        <f>+CONCATENATE("Given the potential effects of project characteristics on safety performance and assuming a ",100*B13," % growth in AADT over a ",B12," year analysis period with ",B11," as the base year, results indicate that:")</f>
        <v>Given the potential effects of project characteristics on safety performance and assuming a 0 % growth in AADT over a  year analysis period with  as the base year, results indicate that:</v>
      </c>
      <c r="B33" s="1213"/>
      <c r="C33" s="1213"/>
      <c r="D33" s="1213"/>
      <c r="E33" s="1213"/>
      <c r="F33" s="1213"/>
      <c r="G33" s="1213"/>
      <c r="H33" s="1213"/>
      <c r="I33" s="1213"/>
      <c r="J33" s="278"/>
    </row>
    <row r="34" spans="1:10" s="418" customFormat="1" ht="35.1" customHeight="1">
      <c r="A34" s="1211" t="str">
        <f>_xlfn.IFERROR(+CONCATENATE("1.  The project is anticipated, on average, to experience ",+ROUND(G28,1)," crashes  over a ",B12," year analysis period (",+(ROUND(G26,1))," fatal and injury crashes; and ",+ROUND(G27,1)," property damage only crashes)."),"")</f>
        <v>1.  The project is anticipated, on average, to experience 0 crashes  over a  year analysis period (0 fatal and injury crashes; and 0 property damage only crashes).</v>
      </c>
      <c r="B34" s="1211"/>
      <c r="C34" s="1211"/>
      <c r="D34" s="1211"/>
      <c r="E34" s="1211"/>
      <c r="F34" s="1211"/>
      <c r="G34" s="1211"/>
      <c r="H34" s="1211"/>
      <c r="I34" s="1211"/>
      <c r="J34" s="296"/>
    </row>
    <row r="35" spans="1:10" s="418" customFormat="1" ht="35.1" customHeight="1">
      <c r="A35" s="1210" t="str">
        <f>_xlfn.IFERROR(+CONCATENATE("2. A similar project is anticipated, on average, to experience ",+(ROUND(E28,1))," crashes  over a ",B12," year analysis period (",+ROUND(E26,1)," fatal and injury crashes over ",B12," years; and ",+ROUND(E27,1)," property damage only crashes over ",B12," years)."),"")</f>
        <v>2. A similar project is anticipated, on average, to experience 0 crashes  over a  year analysis period (0 fatal and injury crashes over  years; and 0 property damage only crashes over  years).</v>
      </c>
      <c r="B35" s="1210"/>
      <c r="C35" s="1210"/>
      <c r="D35" s="1210"/>
      <c r="E35" s="1210"/>
      <c r="F35" s="1210"/>
      <c r="G35" s="1210"/>
      <c r="H35" s="1210"/>
      <c r="I35" s="1210"/>
      <c r="J35" s="419"/>
    </row>
    <row r="36" spans="1:10" s="418" customFormat="1" ht="35.1" customHeight="1">
      <c r="A36" s="1211" t="str">
        <f>_xlfn.IFERROR(+IF(I28="N/A","",+CONCATENATE("3.  It is anticipated the project will have an average potential for safety improvement of ",ROUND(I28,1)," crashes  over a ",B12," year analysis period (",+ROUND(I26,1)," fatal and injury crashes over ",B12," years; and ",+ROUND(I27,1)," property damage only crashes over ",B12," years).")),"")</f>
        <v/>
      </c>
      <c r="B36" s="1211"/>
      <c r="C36" s="1211"/>
      <c r="D36" s="1211"/>
      <c r="E36" s="1211"/>
      <c r="F36" s="1211"/>
      <c r="G36" s="1211"/>
      <c r="H36" s="1211"/>
      <c r="I36" s="1211"/>
      <c r="J36" s="296"/>
    </row>
    <row r="37" spans="5:10" s="284" customFormat="1" ht="12.75">
      <c r="E37" s="204"/>
      <c r="F37" s="204"/>
      <c r="G37" s="204"/>
      <c r="H37" s="204"/>
      <c r="I37" s="204"/>
      <c r="J37" s="204"/>
    </row>
    <row r="38" spans="5:10" s="284" customFormat="1" ht="12.75">
      <c r="E38" s="204"/>
      <c r="F38" s="204"/>
      <c r="G38" s="204"/>
      <c r="H38" s="204"/>
      <c r="I38" s="204"/>
      <c r="J38" s="204"/>
    </row>
    <row r="39" spans="5:10" s="284" customFormat="1" ht="12.75">
      <c r="E39" s="204"/>
      <c r="F39" s="204"/>
      <c r="G39" s="204"/>
      <c r="H39" s="204"/>
      <c r="I39" s="204"/>
      <c r="J39" s="204"/>
    </row>
    <row r="40" spans="5:10" s="284" customFormat="1" ht="12.75">
      <c r="E40" s="204"/>
      <c r="F40" s="204"/>
      <c r="G40" s="204"/>
      <c r="H40" s="204"/>
      <c r="I40" s="204"/>
      <c r="J40" s="204"/>
    </row>
    <row r="41" spans="5:10" s="284" customFormat="1" ht="12.75">
      <c r="E41" s="204"/>
      <c r="F41" s="204"/>
      <c r="G41" s="204"/>
      <c r="H41" s="204"/>
      <c r="I41" s="204"/>
      <c r="J41" s="204"/>
    </row>
    <row r="42" spans="5:10" s="284" customFormat="1" ht="12.75">
      <c r="E42" s="204"/>
      <c r="F42" s="204"/>
      <c r="G42" s="204"/>
      <c r="H42" s="204"/>
      <c r="I42" s="204"/>
      <c r="J42" s="204"/>
    </row>
    <row r="43" spans="5:10" s="284" customFormat="1" ht="12.75">
      <c r="E43" s="204"/>
      <c r="F43" s="204"/>
      <c r="G43" s="204"/>
      <c r="H43" s="204"/>
      <c r="I43" s="204"/>
      <c r="J43" s="204"/>
    </row>
    <row r="44" spans="5:10" s="284" customFormat="1" ht="12.75">
      <c r="E44" s="204"/>
      <c r="F44" s="204"/>
      <c r="G44" s="204"/>
      <c r="H44" s="204"/>
      <c r="I44" s="204"/>
      <c r="J44" s="204"/>
    </row>
    <row r="45" spans="5:10" s="284" customFormat="1" ht="12.75">
      <c r="E45" s="204"/>
      <c r="F45" s="204"/>
      <c r="G45" s="204"/>
      <c r="H45" s="204"/>
      <c r="I45" s="204"/>
      <c r="J45" s="204"/>
    </row>
    <row r="46" spans="5:10" s="284" customFormat="1" ht="12.75">
      <c r="E46" s="204"/>
      <c r="F46" s="204"/>
      <c r="G46" s="204"/>
      <c r="H46" s="204"/>
      <c r="I46" s="204"/>
      <c r="J46" s="204"/>
    </row>
    <row r="47" spans="5:10" s="284" customFormat="1" ht="12.75">
      <c r="E47" s="204"/>
      <c r="F47" s="204"/>
      <c r="G47" s="204"/>
      <c r="H47" s="204"/>
      <c r="I47" s="204"/>
      <c r="J47" s="204"/>
    </row>
    <row r="48" spans="5:10" s="284" customFormat="1" ht="12.75">
      <c r="E48" s="204"/>
      <c r="F48" s="204"/>
      <c r="G48" s="204"/>
      <c r="H48" s="204"/>
      <c r="I48" s="204"/>
      <c r="J48" s="204"/>
    </row>
    <row r="49" spans="5:10" s="284" customFormat="1" ht="12.75">
      <c r="E49" s="204"/>
      <c r="F49" s="204"/>
      <c r="G49" s="204"/>
      <c r="H49" s="204"/>
      <c r="I49" s="204"/>
      <c r="J49" s="204"/>
    </row>
    <row r="50" spans="5:10" s="284" customFormat="1" ht="12.75">
      <c r="E50" s="204"/>
      <c r="F50" s="204"/>
      <c r="G50" s="204"/>
      <c r="H50" s="204"/>
      <c r="I50" s="204"/>
      <c r="J50" s="204"/>
    </row>
    <row r="51" spans="5:10" s="284" customFormat="1" ht="12.75">
      <c r="E51" s="204"/>
      <c r="F51" s="204"/>
      <c r="G51" s="204"/>
      <c r="H51" s="204"/>
      <c r="I51" s="204"/>
      <c r="J51" s="204"/>
    </row>
    <row r="52" spans="5:10" s="284" customFormat="1" ht="12.75">
      <c r="E52" s="204"/>
      <c r="F52" s="204"/>
      <c r="G52" s="204"/>
      <c r="H52" s="204"/>
      <c r="I52" s="204"/>
      <c r="J52" s="204"/>
    </row>
    <row r="53" spans="5:10" s="284" customFormat="1" ht="12.75">
      <c r="E53" s="204"/>
      <c r="F53" s="204"/>
      <c r="G53" s="204"/>
      <c r="H53" s="204"/>
      <c r="I53" s="204"/>
      <c r="J53" s="204"/>
    </row>
    <row r="54" spans="5:10" s="284" customFormat="1" ht="12.75">
      <c r="E54" s="204"/>
      <c r="F54" s="204"/>
      <c r="G54" s="204"/>
      <c r="H54" s="204"/>
      <c r="I54" s="204"/>
      <c r="J54" s="204"/>
    </row>
    <row r="55" spans="5:10" s="284" customFormat="1" ht="12.75">
      <c r="E55" s="204"/>
      <c r="F55" s="204"/>
      <c r="G55" s="204"/>
      <c r="H55" s="204"/>
      <c r="I55" s="204"/>
      <c r="J55" s="204"/>
    </row>
    <row r="56" spans="5:10" s="284" customFormat="1" ht="12.75">
      <c r="E56" s="204"/>
      <c r="F56" s="204"/>
      <c r="G56" s="204"/>
      <c r="H56" s="204"/>
      <c r="I56" s="204"/>
      <c r="J56" s="204"/>
    </row>
    <row r="57" spans="5:10" s="284" customFormat="1" ht="12.75">
      <c r="E57" s="204"/>
      <c r="F57" s="204"/>
      <c r="G57" s="204"/>
      <c r="H57" s="204"/>
      <c r="I57" s="204"/>
      <c r="J57" s="204"/>
    </row>
    <row r="58" spans="5:10" s="284" customFormat="1" ht="12.75">
      <c r="E58" s="204"/>
      <c r="F58" s="204"/>
      <c r="G58" s="204"/>
      <c r="H58" s="204"/>
      <c r="I58" s="204"/>
      <c r="J58" s="204"/>
    </row>
    <row r="59" spans="5:10" s="284" customFormat="1" ht="12.75">
      <c r="E59" s="204"/>
      <c r="F59" s="204"/>
      <c r="G59" s="204"/>
      <c r="H59" s="204"/>
      <c r="I59" s="204"/>
      <c r="J59" s="204"/>
    </row>
    <row r="60" spans="5:10" s="284" customFormat="1" ht="12.75">
      <c r="E60" s="204"/>
      <c r="F60" s="204"/>
      <c r="G60" s="204"/>
      <c r="H60" s="204"/>
      <c r="I60" s="204"/>
      <c r="J60" s="204"/>
    </row>
    <row r="61" spans="5:10" s="284" customFormat="1" ht="12.75">
      <c r="E61" s="204"/>
      <c r="F61" s="204"/>
      <c r="G61" s="204"/>
      <c r="H61" s="204"/>
      <c r="I61" s="204"/>
      <c r="J61" s="204"/>
    </row>
    <row r="62" spans="5:10" s="284" customFormat="1" ht="12.75">
      <c r="E62" s="204"/>
      <c r="F62" s="204"/>
      <c r="G62" s="204"/>
      <c r="H62" s="204"/>
      <c r="I62" s="204"/>
      <c r="J62" s="204"/>
    </row>
    <row r="63" spans="5:10" s="284" customFormat="1" ht="12.75">
      <c r="E63" s="204"/>
      <c r="F63" s="204"/>
      <c r="G63" s="204"/>
      <c r="H63" s="204"/>
      <c r="I63" s="204"/>
      <c r="J63" s="204"/>
    </row>
    <row r="64" spans="5:10" s="284" customFormat="1" ht="12.75">
      <c r="E64" s="204"/>
      <c r="F64" s="204"/>
      <c r="G64" s="204"/>
      <c r="H64" s="204"/>
      <c r="I64" s="204"/>
      <c r="J64" s="204"/>
    </row>
    <row r="65" spans="5:10" s="284" customFormat="1" ht="12.75">
      <c r="E65" s="204"/>
      <c r="F65" s="204"/>
      <c r="G65" s="204"/>
      <c r="H65" s="204"/>
      <c r="I65" s="204"/>
      <c r="J65" s="204"/>
    </row>
    <row r="66" spans="5:10" s="284" customFormat="1" ht="12.75">
      <c r="E66" s="204"/>
      <c r="F66" s="204"/>
      <c r="G66" s="204"/>
      <c r="H66" s="204"/>
      <c r="I66" s="204"/>
      <c r="J66" s="204"/>
    </row>
    <row r="67" spans="5:10" s="284" customFormat="1" ht="12.75">
      <c r="E67" s="204"/>
      <c r="F67" s="204"/>
      <c r="G67" s="204"/>
      <c r="H67" s="204"/>
      <c r="I67" s="204"/>
      <c r="J67" s="204"/>
    </row>
    <row r="68" spans="5:10" s="284" customFormat="1" ht="12.75">
      <c r="E68" s="204"/>
      <c r="F68" s="204"/>
      <c r="G68" s="204"/>
      <c r="H68" s="204"/>
      <c r="I68" s="204"/>
      <c r="J68" s="204"/>
    </row>
    <row r="69" spans="5:10" s="284" customFormat="1" ht="12.75">
      <c r="E69" s="204"/>
      <c r="F69" s="204"/>
      <c r="G69" s="204"/>
      <c r="H69" s="204"/>
      <c r="I69" s="204"/>
      <c r="J69" s="204"/>
    </row>
    <row r="70" spans="5:10" s="284" customFormat="1" ht="12.75">
      <c r="E70" s="204"/>
      <c r="F70" s="204"/>
      <c r="G70" s="204"/>
      <c r="H70" s="204"/>
      <c r="I70" s="204"/>
      <c r="J70" s="204"/>
    </row>
    <row r="71" spans="5:10" s="284" customFormat="1" ht="12.75">
      <c r="E71" s="204"/>
      <c r="F71" s="204"/>
      <c r="G71" s="204"/>
      <c r="H71" s="204"/>
      <c r="I71" s="204"/>
      <c r="J71" s="204"/>
    </row>
    <row r="72" spans="1:14" ht="12.75">
      <c r="A72" s="284"/>
      <c r="B72" s="284"/>
      <c r="C72" s="284"/>
      <c r="D72" s="284"/>
      <c r="E72" s="204"/>
      <c r="F72" s="204"/>
      <c r="G72" s="204"/>
      <c r="H72" s="204"/>
      <c r="I72" s="204"/>
      <c r="J72" s="204"/>
      <c r="K72" s="287"/>
      <c r="L72" s="287"/>
      <c r="M72" s="287"/>
      <c r="N72" s="287"/>
    </row>
    <row r="73" spans="1:14" ht="12.75">
      <c r="A73" s="284"/>
      <c r="B73" s="284"/>
      <c r="C73" s="284"/>
      <c r="D73" s="284"/>
      <c r="E73" s="204"/>
      <c r="F73" s="204"/>
      <c r="G73" s="204"/>
      <c r="H73" s="204"/>
      <c r="I73" s="204"/>
      <c r="J73" s="204"/>
      <c r="K73" s="287"/>
      <c r="L73" s="287"/>
      <c r="M73" s="287"/>
      <c r="N73" s="287"/>
    </row>
    <row r="74" spans="1:14" ht="12.75">
      <c r="A74" s="284"/>
      <c r="B74" s="284"/>
      <c r="C74" s="284"/>
      <c r="D74" s="284"/>
      <c r="E74" s="204"/>
      <c r="F74" s="204"/>
      <c r="G74" s="204"/>
      <c r="H74" s="204"/>
      <c r="I74" s="204"/>
      <c r="J74" s="204"/>
      <c r="K74" s="287"/>
      <c r="L74" s="287"/>
      <c r="M74" s="287"/>
      <c r="N74" s="287"/>
    </row>
    <row r="75" spans="1:14" ht="12.75">
      <c r="A75" s="284"/>
      <c r="B75" s="284"/>
      <c r="C75" s="284"/>
      <c r="D75" s="284"/>
      <c r="E75" s="204"/>
      <c r="F75" s="204"/>
      <c r="G75" s="204"/>
      <c r="H75" s="204"/>
      <c r="I75" s="204"/>
      <c r="J75" s="204"/>
      <c r="K75" s="287"/>
      <c r="L75" s="287"/>
      <c r="M75" s="287"/>
      <c r="N75" s="287"/>
    </row>
    <row r="76" spans="1:14" ht="12.75">
      <c r="A76" s="284"/>
      <c r="B76" s="284"/>
      <c r="C76" s="284"/>
      <c r="D76" s="284"/>
      <c r="E76" s="204"/>
      <c r="F76" s="204"/>
      <c r="G76" s="204"/>
      <c r="H76" s="204"/>
      <c r="I76" s="204"/>
      <c r="J76" s="204"/>
      <c r="K76" s="287"/>
      <c r="L76" s="287"/>
      <c r="M76" s="287"/>
      <c r="N76" s="287"/>
    </row>
    <row r="77" spans="1:14" ht="12.75">
      <c r="A77" s="284"/>
      <c r="B77" s="284"/>
      <c r="C77" s="284"/>
      <c r="D77" s="284"/>
      <c r="E77" s="204"/>
      <c r="F77" s="204"/>
      <c r="G77" s="204"/>
      <c r="H77" s="204"/>
      <c r="I77" s="204"/>
      <c r="J77" s="204"/>
      <c r="K77" s="287"/>
      <c r="L77" s="287"/>
      <c r="M77" s="287"/>
      <c r="N77" s="287"/>
    </row>
    <row r="78" spans="1:14" ht="12.75">
      <c r="A78" s="284"/>
      <c r="B78" s="284"/>
      <c r="C78" s="284"/>
      <c r="D78" s="284"/>
      <c r="E78" s="204"/>
      <c r="F78" s="204"/>
      <c r="G78" s="204"/>
      <c r="H78" s="204"/>
      <c r="I78" s="204"/>
      <c r="J78" s="204"/>
      <c r="K78" s="287"/>
      <c r="L78" s="287"/>
      <c r="M78" s="287"/>
      <c r="N78" s="287"/>
    </row>
    <row r="79" spans="1:14" ht="12.75">
      <c r="A79" s="284"/>
      <c r="B79" s="284"/>
      <c r="C79" s="284"/>
      <c r="D79" s="284"/>
      <c r="E79" s="204"/>
      <c r="F79" s="204"/>
      <c r="G79" s="204"/>
      <c r="H79" s="204"/>
      <c r="I79" s="204"/>
      <c r="J79" s="204"/>
      <c r="K79" s="287"/>
      <c r="L79" s="287"/>
      <c r="M79" s="287"/>
      <c r="N79" s="287"/>
    </row>
    <row r="80" spans="1:14" ht="12.75">
      <c r="A80" s="284"/>
      <c r="B80" s="284"/>
      <c r="C80" s="284"/>
      <c r="D80" s="284"/>
      <c r="E80" s="204"/>
      <c r="F80" s="204"/>
      <c r="G80" s="204"/>
      <c r="H80" s="204"/>
      <c r="I80" s="204"/>
      <c r="J80" s="204"/>
      <c r="K80" s="287"/>
      <c r="L80" s="287"/>
      <c r="M80" s="287"/>
      <c r="N80" s="287"/>
    </row>
    <row r="81" spans="1:14" ht="12.75">
      <c r="A81" s="284"/>
      <c r="B81" s="284"/>
      <c r="C81" s="284"/>
      <c r="D81" s="284"/>
      <c r="E81" s="204"/>
      <c r="F81" s="204"/>
      <c r="G81" s="204"/>
      <c r="H81" s="204"/>
      <c r="I81" s="204"/>
      <c r="J81" s="204"/>
      <c r="K81" s="287"/>
      <c r="L81" s="287"/>
      <c r="M81" s="287"/>
      <c r="N81" s="287"/>
    </row>
    <row r="82" spans="1:14" ht="12.75">
      <c r="A82" s="284"/>
      <c r="B82" s="284"/>
      <c r="C82" s="284"/>
      <c r="D82" s="284"/>
      <c r="E82" s="204"/>
      <c r="F82" s="204"/>
      <c r="G82" s="204"/>
      <c r="H82" s="204"/>
      <c r="I82" s="204"/>
      <c r="J82" s="204"/>
      <c r="K82" s="287"/>
      <c r="L82" s="287"/>
      <c r="M82" s="287"/>
      <c r="N82" s="287"/>
    </row>
    <row r="83" spans="1:14" ht="12.75">
      <c r="A83" s="284"/>
      <c r="B83" s="284"/>
      <c r="C83" s="284"/>
      <c r="D83" s="284"/>
      <c r="E83" s="204"/>
      <c r="F83" s="204"/>
      <c r="G83" s="204"/>
      <c r="H83" s="204"/>
      <c r="I83" s="204"/>
      <c r="J83" s="204"/>
      <c r="K83" s="287"/>
      <c r="L83" s="287"/>
      <c r="M83" s="287"/>
      <c r="N83" s="287"/>
    </row>
    <row r="84" spans="1:14" ht="12.75">
      <c r="A84" s="284"/>
      <c r="B84" s="284"/>
      <c r="C84" s="284"/>
      <c r="D84" s="284"/>
      <c r="E84" s="204"/>
      <c r="F84" s="204"/>
      <c r="G84" s="204"/>
      <c r="H84" s="204"/>
      <c r="I84" s="204"/>
      <c r="J84" s="204"/>
      <c r="K84" s="287"/>
      <c r="L84" s="287"/>
      <c r="M84" s="287"/>
      <c r="N84" s="287"/>
    </row>
    <row r="85" spans="1:14" ht="12.75">
      <c r="A85" s="284"/>
      <c r="B85" s="284"/>
      <c r="C85" s="284"/>
      <c r="D85" s="284"/>
      <c r="E85" s="204"/>
      <c r="F85" s="204"/>
      <c r="G85" s="204"/>
      <c r="H85" s="204"/>
      <c r="I85" s="204"/>
      <c r="J85" s="204"/>
      <c r="K85" s="287"/>
      <c r="L85" s="287"/>
      <c r="M85" s="287"/>
      <c r="N85" s="287"/>
    </row>
    <row r="86" spans="1:14" ht="12.75">
      <c r="A86" s="284"/>
      <c r="B86" s="284"/>
      <c r="C86" s="284"/>
      <c r="D86" s="284"/>
      <c r="E86" s="204"/>
      <c r="F86" s="204"/>
      <c r="G86" s="204"/>
      <c r="H86" s="204"/>
      <c r="I86" s="204"/>
      <c r="J86" s="204"/>
      <c r="K86" s="287"/>
      <c r="L86" s="287"/>
      <c r="M86" s="287"/>
      <c r="N86" s="287"/>
    </row>
    <row r="87" spans="1:14" ht="12.75">
      <c r="A87" s="284"/>
      <c r="B87" s="284"/>
      <c r="C87" s="284"/>
      <c r="D87" s="284"/>
      <c r="E87" s="204"/>
      <c r="F87" s="204"/>
      <c r="G87" s="204"/>
      <c r="H87" s="204"/>
      <c r="I87" s="204"/>
      <c r="J87" s="204"/>
      <c r="K87" s="287"/>
      <c r="L87" s="287"/>
      <c r="M87" s="287"/>
      <c r="N87" s="287"/>
    </row>
    <row r="88" spans="1:14" ht="12.75">
      <c r="A88" s="284"/>
      <c r="B88" s="284"/>
      <c r="C88" s="284"/>
      <c r="D88" s="284"/>
      <c r="E88" s="204"/>
      <c r="F88" s="204"/>
      <c r="G88" s="204"/>
      <c r="H88" s="204"/>
      <c r="I88" s="204"/>
      <c r="J88" s="204"/>
      <c r="K88" s="287"/>
      <c r="L88" s="287"/>
      <c r="M88" s="287"/>
      <c r="N88" s="287"/>
    </row>
    <row r="89" spans="1:14" ht="12.75">
      <c r="A89" s="284"/>
      <c r="B89" s="284"/>
      <c r="C89" s="284"/>
      <c r="D89" s="284"/>
      <c r="E89" s="204"/>
      <c r="F89" s="204"/>
      <c r="G89" s="204"/>
      <c r="H89" s="204"/>
      <c r="I89" s="204"/>
      <c r="J89" s="204"/>
      <c r="K89" s="287"/>
      <c r="L89" s="287"/>
      <c r="M89" s="287"/>
      <c r="N89" s="287"/>
    </row>
    <row r="90" spans="1:14" ht="12.75">
      <c r="A90" s="284"/>
      <c r="B90" s="284"/>
      <c r="C90" s="284"/>
      <c r="D90" s="284"/>
      <c r="E90" s="204"/>
      <c r="F90" s="204"/>
      <c r="G90" s="204"/>
      <c r="H90" s="204"/>
      <c r="I90" s="204"/>
      <c r="J90" s="204"/>
      <c r="K90" s="287"/>
      <c r="L90" s="287"/>
      <c r="M90" s="287"/>
      <c r="N90" s="287"/>
    </row>
    <row r="91" spans="1:14" ht="12.75">
      <c r="A91" s="284"/>
      <c r="B91" s="284"/>
      <c r="C91" s="284"/>
      <c r="D91" s="284"/>
      <c r="E91" s="204"/>
      <c r="F91" s="204"/>
      <c r="G91" s="204"/>
      <c r="H91" s="204"/>
      <c r="I91" s="204"/>
      <c r="J91" s="204"/>
      <c r="K91" s="287"/>
      <c r="L91" s="287"/>
      <c r="M91" s="287"/>
      <c r="N91" s="287"/>
    </row>
    <row r="92" spans="1:14" ht="12.75">
      <c r="A92" s="284"/>
      <c r="B92" s="284"/>
      <c r="C92" s="284"/>
      <c r="D92" s="284"/>
      <c r="E92" s="204"/>
      <c r="F92" s="204"/>
      <c r="G92" s="204"/>
      <c r="H92" s="204"/>
      <c r="I92" s="204"/>
      <c r="J92" s="204"/>
      <c r="K92" s="287"/>
      <c r="L92" s="287"/>
      <c r="M92" s="287"/>
      <c r="N92" s="287"/>
    </row>
    <row r="93" spans="1:14" ht="12.75">
      <c r="A93" s="284"/>
      <c r="B93" s="284"/>
      <c r="C93" s="284"/>
      <c r="D93" s="284"/>
      <c r="E93" s="204"/>
      <c r="F93" s="204"/>
      <c r="G93" s="204"/>
      <c r="H93" s="204"/>
      <c r="I93" s="204"/>
      <c r="J93" s="204"/>
      <c r="K93" s="287"/>
      <c r="L93" s="287"/>
      <c r="M93" s="287"/>
      <c r="N93" s="287"/>
    </row>
    <row r="94" spans="1:14" ht="12.75">
      <c r="A94" s="284"/>
      <c r="B94" s="284"/>
      <c r="C94" s="284"/>
      <c r="D94" s="284"/>
      <c r="E94" s="204"/>
      <c r="F94" s="204"/>
      <c r="G94" s="204"/>
      <c r="H94" s="204"/>
      <c r="I94" s="204"/>
      <c r="J94" s="204"/>
      <c r="K94" s="287"/>
      <c r="L94" s="287"/>
      <c r="M94" s="287"/>
      <c r="N94" s="287"/>
    </row>
    <row r="95" spans="1:14" ht="12.75">
      <c r="A95" s="284"/>
      <c r="B95" s="284"/>
      <c r="C95" s="284"/>
      <c r="D95" s="284"/>
      <c r="E95" s="204"/>
      <c r="F95" s="204"/>
      <c r="G95" s="204"/>
      <c r="H95" s="204"/>
      <c r="I95" s="204"/>
      <c r="J95" s="204"/>
      <c r="K95" s="287"/>
      <c r="L95" s="287"/>
      <c r="M95" s="287"/>
      <c r="N95" s="287"/>
    </row>
    <row r="96" spans="1:14" ht="12.75">
      <c r="A96" s="284"/>
      <c r="B96" s="284"/>
      <c r="C96" s="284"/>
      <c r="D96" s="284"/>
      <c r="E96" s="204"/>
      <c r="F96" s="204"/>
      <c r="G96" s="204"/>
      <c r="H96" s="204"/>
      <c r="I96" s="204"/>
      <c r="J96" s="204"/>
      <c r="K96" s="287"/>
      <c r="L96" s="287"/>
      <c r="M96" s="287"/>
      <c r="N96" s="287"/>
    </row>
    <row r="97" spans="1:14" ht="12.75">
      <c r="A97" s="284"/>
      <c r="B97" s="284"/>
      <c r="C97" s="284"/>
      <c r="D97" s="284"/>
      <c r="E97" s="204"/>
      <c r="F97" s="204"/>
      <c r="G97" s="204"/>
      <c r="H97" s="204"/>
      <c r="I97" s="204"/>
      <c r="J97" s="204"/>
      <c r="K97" s="287"/>
      <c r="L97" s="287"/>
      <c r="M97" s="287"/>
      <c r="N97" s="287"/>
    </row>
    <row r="98" spans="1:14" ht="12.75">
      <c r="A98" s="284"/>
      <c r="B98" s="284"/>
      <c r="C98" s="284"/>
      <c r="D98" s="284"/>
      <c r="E98" s="204"/>
      <c r="F98" s="204"/>
      <c r="G98" s="204"/>
      <c r="H98" s="204"/>
      <c r="I98" s="204"/>
      <c r="J98" s="204"/>
      <c r="K98" s="287"/>
      <c r="L98" s="287"/>
      <c r="M98" s="287"/>
      <c r="N98" s="287"/>
    </row>
    <row r="99" spans="1:14" ht="12.75">
      <c r="A99" s="284"/>
      <c r="B99" s="284"/>
      <c r="C99" s="284"/>
      <c r="D99" s="284"/>
      <c r="E99" s="204"/>
      <c r="F99" s="204"/>
      <c r="G99" s="204"/>
      <c r="H99" s="204"/>
      <c r="I99" s="204"/>
      <c r="J99" s="204"/>
      <c r="K99" s="287"/>
      <c r="L99" s="287"/>
      <c r="M99" s="287"/>
      <c r="N99" s="287"/>
    </row>
    <row r="100" spans="1:14" ht="12.75">
      <c r="A100" s="284"/>
      <c r="B100" s="284"/>
      <c r="C100" s="284"/>
      <c r="D100" s="284"/>
      <c r="E100" s="204"/>
      <c r="F100" s="204"/>
      <c r="G100" s="204"/>
      <c r="H100" s="204"/>
      <c r="I100" s="204"/>
      <c r="J100" s="204"/>
      <c r="K100" s="287"/>
      <c r="L100" s="287"/>
      <c r="M100" s="287"/>
      <c r="N100" s="287"/>
    </row>
    <row r="101" spans="1:14" ht="12.75">
      <c r="A101" s="284"/>
      <c r="B101" s="284"/>
      <c r="C101" s="284"/>
      <c r="D101" s="284"/>
      <c r="E101" s="204"/>
      <c r="F101" s="204"/>
      <c r="G101" s="204"/>
      <c r="H101" s="204"/>
      <c r="I101" s="204"/>
      <c r="J101" s="204"/>
      <c r="K101" s="287"/>
      <c r="L101" s="287"/>
      <c r="M101" s="287"/>
      <c r="N101" s="287"/>
    </row>
    <row r="102" spans="1:14" ht="12.75">
      <c r="A102" s="284"/>
      <c r="B102" s="284"/>
      <c r="C102" s="284"/>
      <c r="D102" s="284"/>
      <c r="E102" s="204"/>
      <c r="F102" s="204"/>
      <c r="G102" s="204"/>
      <c r="H102" s="204"/>
      <c r="I102" s="204"/>
      <c r="J102" s="204"/>
      <c r="K102" s="287"/>
      <c r="L102" s="287"/>
      <c r="M102" s="287"/>
      <c r="N102" s="287"/>
    </row>
    <row r="103" spans="1:14" ht="12.75">
      <c r="A103" s="284"/>
      <c r="B103" s="284"/>
      <c r="C103" s="284"/>
      <c r="D103" s="284"/>
      <c r="E103" s="204"/>
      <c r="F103" s="204"/>
      <c r="G103" s="204"/>
      <c r="H103" s="204"/>
      <c r="I103" s="204"/>
      <c r="J103" s="204"/>
      <c r="K103" s="287"/>
      <c r="L103" s="287"/>
      <c r="M103" s="287"/>
      <c r="N103" s="287"/>
    </row>
    <row r="104" spans="1:14" ht="12.75">
      <c r="A104" s="284"/>
      <c r="B104" s="284"/>
      <c r="C104" s="284"/>
      <c r="D104" s="284"/>
      <c r="E104" s="204"/>
      <c r="F104" s="204"/>
      <c r="G104" s="204"/>
      <c r="H104" s="204"/>
      <c r="I104" s="204"/>
      <c r="J104" s="204"/>
      <c r="K104" s="287"/>
      <c r="L104" s="287"/>
      <c r="M104" s="287"/>
      <c r="N104" s="287"/>
    </row>
    <row r="105" spans="1:14" ht="12.75">
      <c r="A105" s="284"/>
      <c r="B105" s="284"/>
      <c r="C105" s="284"/>
      <c r="D105" s="284"/>
      <c r="E105" s="204"/>
      <c r="F105" s="204"/>
      <c r="G105" s="204"/>
      <c r="H105" s="204"/>
      <c r="I105" s="204"/>
      <c r="J105" s="204"/>
      <c r="K105" s="287"/>
      <c r="L105" s="287"/>
      <c r="M105" s="287"/>
      <c r="N105" s="287"/>
    </row>
    <row r="106" spans="1:14" ht="12.75">
      <c r="A106" s="284"/>
      <c r="B106" s="284"/>
      <c r="C106" s="284"/>
      <c r="D106" s="284"/>
      <c r="E106" s="204"/>
      <c r="F106" s="204"/>
      <c r="G106" s="204"/>
      <c r="H106" s="204"/>
      <c r="I106" s="204"/>
      <c r="J106" s="204"/>
      <c r="K106" s="287"/>
      <c r="L106" s="287"/>
      <c r="M106" s="287"/>
      <c r="N106" s="287"/>
    </row>
    <row r="107" spans="1:14" ht="12.75">
      <c r="A107" s="284"/>
      <c r="B107" s="284"/>
      <c r="C107" s="284"/>
      <c r="D107" s="284"/>
      <c r="E107" s="204"/>
      <c r="F107" s="204"/>
      <c r="G107" s="204"/>
      <c r="H107" s="204"/>
      <c r="I107" s="204"/>
      <c r="J107" s="204"/>
      <c r="K107" s="287"/>
      <c r="L107" s="287"/>
      <c r="M107" s="287"/>
      <c r="N107" s="287"/>
    </row>
    <row r="108" spans="1:14" ht="12.75">
      <c r="A108" s="284"/>
      <c r="B108" s="284"/>
      <c r="C108" s="284"/>
      <c r="D108" s="284"/>
      <c r="E108" s="204"/>
      <c r="F108" s="204"/>
      <c r="G108" s="204"/>
      <c r="H108" s="204"/>
      <c r="I108" s="204"/>
      <c r="J108" s="204"/>
      <c r="K108" s="287"/>
      <c r="L108" s="287"/>
      <c r="M108" s="287"/>
      <c r="N108" s="287"/>
    </row>
    <row r="109" spans="1:14" ht="12.75">
      <c r="A109" s="284"/>
      <c r="B109" s="284"/>
      <c r="C109" s="284"/>
      <c r="D109" s="284"/>
      <c r="E109" s="204"/>
      <c r="F109" s="204"/>
      <c r="G109" s="204"/>
      <c r="H109" s="204"/>
      <c r="I109" s="204"/>
      <c r="J109" s="204"/>
      <c r="K109" s="287"/>
      <c r="L109" s="287"/>
      <c r="M109" s="287"/>
      <c r="N109" s="287"/>
    </row>
    <row r="110" spans="1:14" ht="12.75">
      <c r="A110" s="284"/>
      <c r="B110" s="284"/>
      <c r="C110" s="284"/>
      <c r="D110" s="284"/>
      <c r="E110" s="204"/>
      <c r="F110" s="204"/>
      <c r="G110" s="204"/>
      <c r="H110" s="204"/>
      <c r="I110" s="204"/>
      <c r="J110" s="204"/>
      <c r="K110" s="287"/>
      <c r="L110" s="287"/>
      <c r="M110" s="287"/>
      <c r="N110" s="287"/>
    </row>
    <row r="111" spans="1:14" ht="12.75">
      <c r="A111" s="284"/>
      <c r="B111" s="284"/>
      <c r="C111" s="284"/>
      <c r="D111" s="284"/>
      <c r="E111" s="204"/>
      <c r="F111" s="204"/>
      <c r="G111" s="204"/>
      <c r="H111" s="204"/>
      <c r="I111" s="204"/>
      <c r="J111" s="204"/>
      <c r="K111" s="287"/>
      <c r="L111" s="287"/>
      <c r="M111" s="287"/>
      <c r="N111" s="287"/>
    </row>
    <row r="112" spans="1:14" ht="12.75">
      <c r="A112" s="284"/>
      <c r="B112" s="284"/>
      <c r="C112" s="284"/>
      <c r="D112" s="284"/>
      <c r="E112" s="204"/>
      <c r="F112" s="204"/>
      <c r="G112" s="204"/>
      <c r="H112" s="204"/>
      <c r="I112" s="204"/>
      <c r="J112" s="204"/>
      <c r="K112" s="287"/>
      <c r="L112" s="287"/>
      <c r="M112" s="287"/>
      <c r="N112" s="287"/>
    </row>
    <row r="113" spans="1:14" ht="12.75">
      <c r="A113" s="284"/>
      <c r="B113" s="284"/>
      <c r="C113" s="284"/>
      <c r="D113" s="284"/>
      <c r="E113" s="204"/>
      <c r="F113" s="204"/>
      <c r="G113" s="204"/>
      <c r="H113" s="204"/>
      <c r="I113" s="204"/>
      <c r="J113" s="204"/>
      <c r="K113" s="287"/>
      <c r="L113" s="287"/>
      <c r="M113" s="287"/>
      <c r="N113" s="287"/>
    </row>
    <row r="114" spans="1:14" ht="12.75">
      <c r="A114" s="284"/>
      <c r="B114" s="284"/>
      <c r="C114" s="284"/>
      <c r="D114" s="284"/>
      <c r="E114" s="204"/>
      <c r="F114" s="204"/>
      <c r="G114" s="204"/>
      <c r="H114" s="204"/>
      <c r="I114" s="204"/>
      <c r="J114" s="204"/>
      <c r="K114" s="287"/>
      <c r="L114" s="287"/>
      <c r="M114" s="287"/>
      <c r="N114" s="287"/>
    </row>
    <row r="115" spans="1:14" ht="12.75">
      <c r="A115" s="284"/>
      <c r="B115" s="284"/>
      <c r="C115" s="284"/>
      <c r="D115" s="284"/>
      <c r="E115" s="204"/>
      <c r="F115" s="204"/>
      <c r="G115" s="204"/>
      <c r="H115" s="204"/>
      <c r="I115" s="204"/>
      <c r="J115" s="204"/>
      <c r="K115" s="287"/>
      <c r="L115" s="287"/>
      <c r="M115" s="287"/>
      <c r="N115" s="287"/>
    </row>
    <row r="116" spans="1:14" ht="12.75">
      <c r="A116" s="284"/>
      <c r="B116" s="284"/>
      <c r="C116" s="284"/>
      <c r="D116" s="284"/>
      <c r="E116" s="204"/>
      <c r="F116" s="204"/>
      <c r="G116" s="204"/>
      <c r="H116" s="204"/>
      <c r="I116" s="204"/>
      <c r="J116" s="204"/>
      <c r="K116" s="287"/>
      <c r="L116" s="287"/>
      <c r="M116" s="287"/>
      <c r="N116" s="287"/>
    </row>
    <row r="117" spans="1:14" ht="12.75">
      <c r="A117" s="284"/>
      <c r="B117" s="284"/>
      <c r="C117" s="284"/>
      <c r="D117" s="284"/>
      <c r="E117" s="204"/>
      <c r="F117" s="204"/>
      <c r="G117" s="204"/>
      <c r="H117" s="204"/>
      <c r="I117" s="204"/>
      <c r="J117" s="204"/>
      <c r="K117" s="287"/>
      <c r="L117" s="287"/>
      <c r="M117" s="287"/>
      <c r="N117" s="287"/>
    </row>
    <row r="118" spans="1:14" ht="12.75">
      <c r="A118" s="284"/>
      <c r="B118" s="284"/>
      <c r="C118" s="284"/>
      <c r="D118" s="284"/>
      <c r="E118" s="204"/>
      <c r="F118" s="204"/>
      <c r="G118" s="204"/>
      <c r="H118" s="204"/>
      <c r="I118" s="204"/>
      <c r="J118" s="204"/>
      <c r="K118" s="287"/>
      <c r="L118" s="287"/>
      <c r="M118" s="287"/>
      <c r="N118" s="287"/>
    </row>
    <row r="119" spans="1:14" ht="12.75">
      <c r="A119" s="284"/>
      <c r="B119" s="284"/>
      <c r="C119" s="284"/>
      <c r="D119" s="284"/>
      <c r="E119" s="204"/>
      <c r="F119" s="204"/>
      <c r="G119" s="204"/>
      <c r="H119" s="204"/>
      <c r="I119" s="204"/>
      <c r="J119" s="204"/>
      <c r="K119" s="287"/>
      <c r="L119" s="287"/>
      <c r="M119" s="287"/>
      <c r="N119" s="287"/>
    </row>
    <row r="120" spans="1:14" ht="12.75">
      <c r="A120" s="284"/>
      <c r="B120" s="284"/>
      <c r="C120" s="284"/>
      <c r="D120" s="284"/>
      <c r="E120" s="204"/>
      <c r="F120" s="204"/>
      <c r="G120" s="204"/>
      <c r="H120" s="204"/>
      <c r="I120" s="204"/>
      <c r="J120" s="204"/>
      <c r="K120" s="287"/>
      <c r="L120" s="287"/>
      <c r="M120" s="287"/>
      <c r="N120" s="287"/>
    </row>
    <row r="121" spans="1:14" ht="12.75">
      <c r="A121" s="284"/>
      <c r="B121" s="284"/>
      <c r="C121" s="284"/>
      <c r="D121" s="284"/>
      <c r="E121" s="204"/>
      <c r="F121" s="204"/>
      <c r="G121" s="204"/>
      <c r="H121" s="204"/>
      <c r="I121" s="204"/>
      <c r="J121" s="204"/>
      <c r="K121" s="287"/>
      <c r="L121" s="287"/>
      <c r="M121" s="287"/>
      <c r="N121" s="287"/>
    </row>
    <row r="122" spans="1:14" ht="12.75">
      <c r="A122" s="284"/>
      <c r="B122" s="284"/>
      <c r="C122" s="284"/>
      <c r="D122" s="284"/>
      <c r="E122" s="204"/>
      <c r="F122" s="204"/>
      <c r="G122" s="204"/>
      <c r="H122" s="204"/>
      <c r="I122" s="204"/>
      <c r="J122" s="204"/>
      <c r="K122" s="287"/>
      <c r="L122" s="287"/>
      <c r="M122" s="287"/>
      <c r="N122" s="287"/>
    </row>
    <row r="123" spans="1:14" ht="12.75">
      <c r="A123" s="284"/>
      <c r="B123" s="284"/>
      <c r="C123" s="284"/>
      <c r="D123" s="284"/>
      <c r="E123" s="204"/>
      <c r="F123" s="204"/>
      <c r="G123" s="204"/>
      <c r="H123" s="204"/>
      <c r="I123" s="204"/>
      <c r="J123" s="204"/>
      <c r="K123" s="287"/>
      <c r="L123" s="287"/>
      <c r="M123" s="287"/>
      <c r="N123" s="287"/>
    </row>
    <row r="124" spans="1:14" ht="12.75">
      <c r="A124" s="284"/>
      <c r="B124" s="284"/>
      <c r="C124" s="284"/>
      <c r="D124" s="284"/>
      <c r="E124" s="204"/>
      <c r="F124" s="204"/>
      <c r="G124" s="204"/>
      <c r="H124" s="204"/>
      <c r="I124" s="204"/>
      <c r="J124" s="204"/>
      <c r="K124" s="287"/>
      <c r="L124" s="287"/>
      <c r="M124" s="287"/>
      <c r="N124" s="287"/>
    </row>
    <row r="125" spans="1:14" ht="12.75">
      <c r="A125" s="284"/>
      <c r="B125" s="284"/>
      <c r="C125" s="284"/>
      <c r="D125" s="284"/>
      <c r="E125" s="204"/>
      <c r="F125" s="204"/>
      <c r="G125" s="204"/>
      <c r="H125" s="204"/>
      <c r="I125" s="204"/>
      <c r="J125" s="204"/>
      <c r="K125" s="287"/>
      <c r="L125" s="287"/>
      <c r="M125" s="287"/>
      <c r="N125" s="287"/>
    </row>
    <row r="126" spans="1:14" ht="12.75">
      <c r="A126" s="284"/>
      <c r="B126" s="284"/>
      <c r="C126" s="284"/>
      <c r="D126" s="284"/>
      <c r="E126" s="204"/>
      <c r="F126" s="204"/>
      <c r="G126" s="204"/>
      <c r="H126" s="204"/>
      <c r="I126" s="204"/>
      <c r="J126" s="204"/>
      <c r="K126" s="287"/>
      <c r="L126" s="287"/>
      <c r="M126" s="287"/>
      <c r="N126" s="287"/>
    </row>
    <row r="127" spans="1:14" ht="12.75">
      <c r="A127" s="284"/>
      <c r="B127" s="284"/>
      <c r="C127" s="284"/>
      <c r="D127" s="284"/>
      <c r="E127" s="204"/>
      <c r="F127" s="204"/>
      <c r="G127" s="204"/>
      <c r="H127" s="204"/>
      <c r="I127" s="204"/>
      <c r="J127" s="204"/>
      <c r="K127" s="287"/>
      <c r="L127" s="287"/>
      <c r="M127" s="287"/>
      <c r="N127" s="287"/>
    </row>
    <row r="128" spans="1:14" ht="12.75">
      <c r="A128" s="284"/>
      <c r="B128" s="284"/>
      <c r="C128" s="284"/>
      <c r="D128" s="284"/>
      <c r="E128" s="204"/>
      <c r="F128" s="204"/>
      <c r="G128" s="204"/>
      <c r="H128" s="204"/>
      <c r="I128" s="204"/>
      <c r="J128" s="204"/>
      <c r="K128" s="287"/>
      <c r="L128" s="287"/>
      <c r="M128" s="287"/>
      <c r="N128" s="287"/>
    </row>
    <row r="129" spans="1:14" ht="12.75">
      <c r="A129" s="284"/>
      <c r="B129" s="284"/>
      <c r="C129" s="284"/>
      <c r="D129" s="284"/>
      <c r="E129" s="204"/>
      <c r="F129" s="204"/>
      <c r="G129" s="204"/>
      <c r="H129" s="204"/>
      <c r="I129" s="204"/>
      <c r="J129" s="204"/>
      <c r="K129" s="287"/>
      <c r="L129" s="287"/>
      <c r="M129" s="287"/>
      <c r="N129" s="287"/>
    </row>
    <row r="130" spans="1:14" ht="12.75">
      <c r="A130" s="284"/>
      <c r="B130" s="284"/>
      <c r="C130" s="284"/>
      <c r="D130" s="284"/>
      <c r="E130" s="204"/>
      <c r="F130" s="204"/>
      <c r="G130" s="204"/>
      <c r="H130" s="204"/>
      <c r="I130" s="204"/>
      <c r="J130" s="204"/>
      <c r="K130" s="287"/>
      <c r="L130" s="287"/>
      <c r="M130" s="287"/>
      <c r="N130" s="287"/>
    </row>
    <row r="131" spans="1:14" ht="12.75">
      <c r="A131" s="284"/>
      <c r="B131" s="284"/>
      <c r="C131" s="284"/>
      <c r="D131" s="284"/>
      <c r="E131" s="204"/>
      <c r="F131" s="204"/>
      <c r="G131" s="204"/>
      <c r="H131" s="204"/>
      <c r="I131" s="204"/>
      <c r="J131" s="204"/>
      <c r="K131" s="287"/>
      <c r="L131" s="287"/>
      <c r="M131" s="287"/>
      <c r="N131" s="287"/>
    </row>
    <row r="132" spans="1:14" ht="12.75">
      <c r="A132" s="284"/>
      <c r="B132" s="284"/>
      <c r="C132" s="284"/>
      <c r="D132" s="284"/>
      <c r="E132" s="204"/>
      <c r="F132" s="204"/>
      <c r="G132" s="204"/>
      <c r="H132" s="204"/>
      <c r="I132" s="204"/>
      <c r="J132" s="204"/>
      <c r="K132" s="287"/>
      <c r="L132" s="287"/>
      <c r="M132" s="287"/>
      <c r="N132" s="287"/>
    </row>
    <row r="133" spans="1:14" ht="12.75">
      <c r="A133" s="284"/>
      <c r="B133" s="284"/>
      <c r="C133" s="284"/>
      <c r="D133" s="284"/>
      <c r="E133" s="204"/>
      <c r="F133" s="204"/>
      <c r="G133" s="204"/>
      <c r="H133" s="204"/>
      <c r="I133" s="204"/>
      <c r="J133" s="204"/>
      <c r="K133" s="287"/>
      <c r="L133" s="287"/>
      <c r="M133" s="287"/>
      <c r="N133" s="287"/>
    </row>
    <row r="134" spans="1:14" ht="12.75">
      <c r="A134" s="284"/>
      <c r="B134" s="284"/>
      <c r="C134" s="284"/>
      <c r="D134" s="284"/>
      <c r="E134" s="204"/>
      <c r="F134" s="204"/>
      <c r="G134" s="204"/>
      <c r="H134" s="204"/>
      <c r="I134" s="204"/>
      <c r="J134" s="204"/>
      <c r="K134" s="287"/>
      <c r="L134" s="287"/>
      <c r="M134" s="287"/>
      <c r="N134" s="287"/>
    </row>
    <row r="135" spans="1:14" ht="12.75">
      <c r="A135" s="284"/>
      <c r="B135" s="284"/>
      <c r="C135" s="284"/>
      <c r="D135" s="284"/>
      <c r="E135" s="204"/>
      <c r="F135" s="204"/>
      <c r="G135" s="204"/>
      <c r="H135" s="204"/>
      <c r="I135" s="204"/>
      <c r="J135" s="204"/>
      <c r="K135" s="287"/>
      <c r="L135" s="287"/>
      <c r="M135" s="287"/>
      <c r="N135" s="287"/>
    </row>
    <row r="136" spans="1:14" ht="12.75">
      <c r="A136" s="284"/>
      <c r="B136" s="284"/>
      <c r="C136" s="284"/>
      <c r="D136" s="284"/>
      <c r="E136" s="204"/>
      <c r="F136" s="204"/>
      <c r="G136" s="204"/>
      <c r="H136" s="204"/>
      <c r="I136" s="204"/>
      <c r="J136" s="204"/>
      <c r="K136" s="287"/>
      <c r="L136" s="287"/>
      <c r="M136" s="287"/>
      <c r="N136" s="287"/>
    </row>
    <row r="137" spans="1:14" ht="12.75">
      <c r="A137" s="284"/>
      <c r="B137" s="284"/>
      <c r="C137" s="284"/>
      <c r="D137" s="284"/>
      <c r="E137" s="204"/>
      <c r="F137" s="204"/>
      <c r="G137" s="204"/>
      <c r="H137" s="204"/>
      <c r="I137" s="204"/>
      <c r="J137" s="204"/>
      <c r="K137" s="287"/>
      <c r="L137" s="287"/>
      <c r="M137" s="287"/>
      <c r="N137" s="287"/>
    </row>
    <row r="138" spans="1:14" ht="12.75">
      <c r="A138" s="284"/>
      <c r="B138" s="284"/>
      <c r="C138" s="284"/>
      <c r="D138" s="284"/>
      <c r="E138" s="204"/>
      <c r="F138" s="204"/>
      <c r="G138" s="204"/>
      <c r="H138" s="204"/>
      <c r="I138" s="204"/>
      <c r="J138" s="204"/>
      <c r="K138" s="287"/>
      <c r="L138" s="287"/>
      <c r="M138" s="287"/>
      <c r="N138" s="287"/>
    </row>
    <row r="139" spans="1:14" ht="12.75">
      <c r="A139" s="284"/>
      <c r="B139" s="284"/>
      <c r="C139" s="284"/>
      <c r="D139" s="284"/>
      <c r="E139" s="204"/>
      <c r="F139" s="204"/>
      <c r="G139" s="204"/>
      <c r="H139" s="204"/>
      <c r="I139" s="204"/>
      <c r="J139" s="204"/>
      <c r="K139" s="287"/>
      <c r="L139" s="287"/>
      <c r="M139" s="287"/>
      <c r="N139" s="287"/>
    </row>
    <row r="140" spans="1:14" ht="12.75">
      <c r="A140" s="284"/>
      <c r="B140" s="284"/>
      <c r="C140" s="284"/>
      <c r="D140" s="284"/>
      <c r="E140" s="204"/>
      <c r="F140" s="204"/>
      <c r="G140" s="204"/>
      <c r="H140" s="204"/>
      <c r="I140" s="204"/>
      <c r="J140" s="204"/>
      <c r="K140" s="287"/>
      <c r="L140" s="287"/>
      <c r="M140" s="287"/>
      <c r="N140" s="287"/>
    </row>
    <row r="141" spans="1:14" ht="12.75">
      <c r="A141" s="284"/>
      <c r="B141" s="284"/>
      <c r="C141" s="284"/>
      <c r="D141" s="284"/>
      <c r="E141" s="204"/>
      <c r="F141" s="204"/>
      <c r="G141" s="204"/>
      <c r="H141" s="204"/>
      <c r="I141" s="204"/>
      <c r="J141" s="204"/>
      <c r="K141" s="287"/>
      <c r="L141" s="287"/>
      <c r="M141" s="287"/>
      <c r="N141" s="287"/>
    </row>
    <row r="142" spans="1:14" ht="12.75">
      <c r="A142" s="284"/>
      <c r="B142" s="284"/>
      <c r="C142" s="284"/>
      <c r="D142" s="284"/>
      <c r="E142" s="204"/>
      <c r="F142" s="204"/>
      <c r="G142" s="204"/>
      <c r="H142" s="204"/>
      <c r="I142" s="204"/>
      <c r="J142" s="204"/>
      <c r="K142" s="287"/>
      <c r="L142" s="287"/>
      <c r="M142" s="287"/>
      <c r="N142" s="287"/>
    </row>
    <row r="143" spans="1:14" ht="12.75">
      <c r="A143" s="284"/>
      <c r="B143" s="284"/>
      <c r="C143" s="284"/>
      <c r="D143" s="284"/>
      <c r="E143" s="204"/>
      <c r="F143" s="204"/>
      <c r="G143" s="204"/>
      <c r="H143" s="204"/>
      <c r="I143" s="204"/>
      <c r="J143" s="204"/>
      <c r="K143" s="287"/>
      <c r="L143" s="287"/>
      <c r="M143" s="287"/>
      <c r="N143" s="287"/>
    </row>
    <row r="144" spans="1:14" ht="12.75">
      <c r="A144" s="284"/>
      <c r="B144" s="284"/>
      <c r="C144" s="284"/>
      <c r="D144" s="284"/>
      <c r="E144" s="204"/>
      <c r="F144" s="204"/>
      <c r="G144" s="204"/>
      <c r="H144" s="204"/>
      <c r="I144" s="204"/>
      <c r="J144" s="204"/>
      <c r="K144" s="287"/>
      <c r="L144" s="287"/>
      <c r="M144" s="287"/>
      <c r="N144" s="287"/>
    </row>
    <row r="145" spans="1:14" ht="12.75">
      <c r="A145" s="284"/>
      <c r="B145" s="284"/>
      <c r="C145" s="284"/>
      <c r="D145" s="284"/>
      <c r="E145" s="204"/>
      <c r="F145" s="204"/>
      <c r="G145" s="204"/>
      <c r="H145" s="204"/>
      <c r="I145" s="204"/>
      <c r="J145" s="204"/>
      <c r="K145" s="287"/>
      <c r="L145" s="287"/>
      <c r="M145" s="287"/>
      <c r="N145" s="287"/>
    </row>
    <row r="146" spans="1:14" ht="12.75">
      <c r="A146" s="284"/>
      <c r="B146" s="284"/>
      <c r="C146" s="284"/>
      <c r="D146" s="284"/>
      <c r="E146" s="204"/>
      <c r="F146" s="204"/>
      <c r="G146" s="204"/>
      <c r="H146" s="204"/>
      <c r="I146" s="204"/>
      <c r="J146" s="204"/>
      <c r="K146" s="287"/>
      <c r="L146" s="287"/>
      <c r="M146" s="287"/>
      <c r="N146" s="287"/>
    </row>
    <row r="147" spans="1:14" ht="12.75">
      <c r="A147" s="284"/>
      <c r="B147" s="284"/>
      <c r="C147" s="284"/>
      <c r="D147" s="284"/>
      <c r="E147" s="204"/>
      <c r="F147" s="204"/>
      <c r="G147" s="204"/>
      <c r="H147" s="204"/>
      <c r="I147" s="204"/>
      <c r="J147" s="204"/>
      <c r="K147" s="287"/>
      <c r="L147" s="287"/>
      <c r="M147" s="287"/>
      <c r="N147" s="287"/>
    </row>
    <row r="148" spans="1:14" ht="12.75">
      <c r="A148" s="284"/>
      <c r="B148" s="284"/>
      <c r="C148" s="284"/>
      <c r="D148" s="284"/>
      <c r="E148" s="204"/>
      <c r="F148" s="204"/>
      <c r="G148" s="204"/>
      <c r="H148" s="204"/>
      <c r="I148" s="204"/>
      <c r="J148" s="204"/>
      <c r="K148" s="287"/>
      <c r="L148" s="287"/>
      <c r="M148" s="287"/>
      <c r="N148" s="287"/>
    </row>
    <row r="149" spans="1:14" ht="12.75">
      <c r="A149" s="284"/>
      <c r="B149" s="284"/>
      <c r="C149" s="284"/>
      <c r="D149" s="284"/>
      <c r="E149" s="204"/>
      <c r="F149" s="204"/>
      <c r="G149" s="204"/>
      <c r="H149" s="204"/>
      <c r="I149" s="204"/>
      <c r="J149" s="204"/>
      <c r="K149" s="287"/>
      <c r="L149" s="287"/>
      <c r="M149" s="287"/>
      <c r="N149" s="287"/>
    </row>
    <row r="150" spans="1:14" ht="12.75">
      <c r="A150" s="284"/>
      <c r="B150" s="284"/>
      <c r="C150" s="284"/>
      <c r="D150" s="284"/>
      <c r="E150" s="204"/>
      <c r="F150" s="204"/>
      <c r="G150" s="204"/>
      <c r="H150" s="204"/>
      <c r="I150" s="204"/>
      <c r="J150" s="204"/>
      <c r="K150" s="287"/>
      <c r="L150" s="287"/>
      <c r="M150" s="287"/>
      <c r="N150" s="287"/>
    </row>
    <row r="151" spans="1:14" ht="12.75">
      <c r="A151" s="284"/>
      <c r="B151" s="284"/>
      <c r="C151" s="284"/>
      <c r="D151" s="284"/>
      <c r="E151" s="204"/>
      <c r="F151" s="204"/>
      <c r="G151" s="204"/>
      <c r="H151" s="204"/>
      <c r="I151" s="204"/>
      <c r="J151" s="204"/>
      <c r="K151" s="287"/>
      <c r="L151" s="287"/>
      <c r="M151" s="287"/>
      <c r="N151" s="287"/>
    </row>
    <row r="152" spans="1:14" ht="12.75">
      <c r="A152" s="284"/>
      <c r="B152" s="284"/>
      <c r="C152" s="284"/>
      <c r="D152" s="284"/>
      <c r="E152" s="204"/>
      <c r="F152" s="204"/>
      <c r="G152" s="204"/>
      <c r="H152" s="204"/>
      <c r="I152" s="204"/>
      <c r="J152" s="204"/>
      <c r="K152" s="287"/>
      <c r="L152" s="287"/>
      <c r="M152" s="287"/>
      <c r="N152" s="287"/>
    </row>
    <row r="153" spans="1:14" ht="12.75">
      <c r="A153" s="284"/>
      <c r="B153" s="284"/>
      <c r="C153" s="284"/>
      <c r="D153" s="284"/>
      <c r="E153" s="204"/>
      <c r="F153" s="204"/>
      <c r="G153" s="204"/>
      <c r="H153" s="204"/>
      <c r="I153" s="204"/>
      <c r="J153" s="204"/>
      <c r="K153" s="287"/>
      <c r="L153" s="287"/>
      <c r="M153" s="287"/>
      <c r="N153" s="287"/>
    </row>
    <row r="154" spans="1:14" ht="12.75">
      <c r="A154" s="284"/>
      <c r="B154" s="284"/>
      <c r="C154" s="284"/>
      <c r="D154" s="284"/>
      <c r="E154" s="204"/>
      <c r="F154" s="204"/>
      <c r="G154" s="204"/>
      <c r="H154" s="204"/>
      <c r="I154" s="204"/>
      <c r="J154" s="204"/>
      <c r="K154" s="287"/>
      <c r="L154" s="287"/>
      <c r="M154" s="287"/>
      <c r="N154" s="287"/>
    </row>
    <row r="155" spans="1:14" ht="12.75">
      <c r="A155" s="284"/>
      <c r="B155" s="284"/>
      <c r="C155" s="284"/>
      <c r="D155" s="284"/>
      <c r="E155" s="204"/>
      <c r="F155" s="204"/>
      <c r="G155" s="204"/>
      <c r="H155" s="204"/>
      <c r="I155" s="204"/>
      <c r="J155" s="204"/>
      <c r="K155" s="287"/>
      <c r="L155" s="287"/>
      <c r="M155" s="287"/>
      <c r="N155" s="287"/>
    </row>
    <row r="156" spans="1:14" ht="12.75">
      <c r="A156" s="284"/>
      <c r="B156" s="284"/>
      <c r="C156" s="284"/>
      <c r="D156" s="284"/>
      <c r="E156" s="204"/>
      <c r="F156" s="204"/>
      <c r="G156" s="204"/>
      <c r="H156" s="204"/>
      <c r="I156" s="204"/>
      <c r="J156" s="204"/>
      <c r="K156" s="287"/>
      <c r="L156" s="287"/>
      <c r="M156" s="287"/>
      <c r="N156" s="287"/>
    </row>
    <row r="157" spans="1:14" ht="12.75">
      <c r="A157" s="284"/>
      <c r="B157" s="284"/>
      <c r="C157" s="284"/>
      <c r="D157" s="284"/>
      <c r="E157" s="204"/>
      <c r="F157" s="204"/>
      <c r="G157" s="204"/>
      <c r="H157" s="204"/>
      <c r="I157" s="204"/>
      <c r="J157" s="204"/>
      <c r="K157" s="287"/>
      <c r="L157" s="287"/>
      <c r="M157" s="287"/>
      <c r="N157" s="287"/>
    </row>
    <row r="158" spans="1:14" ht="12.75">
      <c r="A158" s="284"/>
      <c r="B158" s="284"/>
      <c r="C158" s="284"/>
      <c r="D158" s="284"/>
      <c r="E158" s="204"/>
      <c r="F158" s="204"/>
      <c r="G158" s="204"/>
      <c r="H158" s="204"/>
      <c r="I158" s="204"/>
      <c r="J158" s="204"/>
      <c r="K158" s="287"/>
      <c r="L158" s="287"/>
      <c r="M158" s="287"/>
      <c r="N158" s="287"/>
    </row>
    <row r="159" spans="1:14" ht="12.75">
      <c r="A159" s="284"/>
      <c r="B159" s="284"/>
      <c r="C159" s="284"/>
      <c r="D159" s="284"/>
      <c r="E159" s="204"/>
      <c r="F159" s="204"/>
      <c r="G159" s="204"/>
      <c r="H159" s="204"/>
      <c r="I159" s="204"/>
      <c r="J159" s="204"/>
      <c r="K159" s="287"/>
      <c r="L159" s="287"/>
      <c r="M159" s="287"/>
      <c r="N159" s="287"/>
    </row>
    <row r="160" spans="1:14" ht="12.75">
      <c r="A160" s="284"/>
      <c r="B160" s="284"/>
      <c r="C160" s="284"/>
      <c r="D160" s="284"/>
      <c r="E160" s="204"/>
      <c r="F160" s="204"/>
      <c r="G160" s="204"/>
      <c r="H160" s="204"/>
      <c r="I160" s="204"/>
      <c r="J160" s="204"/>
      <c r="K160" s="287"/>
      <c r="L160" s="287"/>
      <c r="M160" s="287"/>
      <c r="N160" s="287"/>
    </row>
    <row r="161" spans="1:14" ht="12.75">
      <c r="A161" s="284"/>
      <c r="B161" s="284"/>
      <c r="C161" s="284"/>
      <c r="D161" s="284"/>
      <c r="E161" s="204"/>
      <c r="F161" s="204"/>
      <c r="G161" s="204"/>
      <c r="H161" s="204"/>
      <c r="I161" s="204"/>
      <c r="J161" s="204"/>
      <c r="K161" s="287"/>
      <c r="L161" s="287"/>
      <c r="M161" s="287"/>
      <c r="N161" s="287"/>
    </row>
    <row r="162" spans="1:14" ht="12.75">
      <c r="A162" s="284"/>
      <c r="B162" s="284"/>
      <c r="C162" s="284"/>
      <c r="D162" s="284"/>
      <c r="E162" s="204"/>
      <c r="F162" s="204"/>
      <c r="G162" s="204"/>
      <c r="H162" s="204"/>
      <c r="I162" s="204"/>
      <c r="J162" s="204"/>
      <c r="K162" s="287"/>
      <c r="L162" s="287"/>
      <c r="M162" s="287"/>
      <c r="N162" s="287"/>
    </row>
    <row r="163" spans="1:14" ht="12.75">
      <c r="A163" s="284"/>
      <c r="B163" s="284"/>
      <c r="C163" s="284"/>
      <c r="D163" s="284"/>
      <c r="E163" s="204"/>
      <c r="F163" s="204"/>
      <c r="G163" s="204"/>
      <c r="H163" s="204"/>
      <c r="I163" s="204"/>
      <c r="J163" s="204"/>
      <c r="K163" s="287"/>
      <c r="L163" s="287"/>
      <c r="M163" s="287"/>
      <c r="N163" s="287"/>
    </row>
    <row r="164" spans="1:14" ht="12.75">
      <c r="A164" s="284"/>
      <c r="B164" s="284"/>
      <c r="C164" s="284"/>
      <c r="D164" s="284"/>
      <c r="E164" s="204"/>
      <c r="F164" s="204"/>
      <c r="G164" s="204"/>
      <c r="H164" s="204"/>
      <c r="I164" s="204"/>
      <c r="J164" s="204"/>
      <c r="K164" s="287"/>
      <c r="L164" s="287"/>
      <c r="M164" s="287"/>
      <c r="N164" s="287"/>
    </row>
    <row r="165" spans="1:14" ht="12.75">
      <c r="A165" s="284"/>
      <c r="B165" s="284"/>
      <c r="C165" s="284"/>
      <c r="D165" s="284"/>
      <c r="E165" s="204"/>
      <c r="F165" s="204"/>
      <c r="G165" s="204"/>
      <c r="H165" s="204"/>
      <c r="I165" s="204"/>
      <c r="J165" s="204"/>
      <c r="K165" s="287"/>
      <c r="L165" s="287"/>
      <c r="M165" s="287"/>
      <c r="N165" s="287"/>
    </row>
    <row r="166" spans="1:14" ht="12.75">
      <c r="A166" s="284"/>
      <c r="B166" s="284"/>
      <c r="C166" s="284"/>
      <c r="D166" s="284"/>
      <c r="E166" s="204"/>
      <c r="F166" s="204"/>
      <c r="G166" s="204"/>
      <c r="H166" s="204"/>
      <c r="I166" s="204"/>
      <c r="J166" s="204"/>
      <c r="K166" s="287"/>
      <c r="L166" s="287"/>
      <c r="M166" s="287"/>
      <c r="N166" s="287"/>
    </row>
    <row r="167" spans="1:14" ht="12.75">
      <c r="A167" s="284"/>
      <c r="B167" s="284"/>
      <c r="C167" s="284"/>
      <c r="D167" s="284"/>
      <c r="E167" s="204"/>
      <c r="F167" s="204"/>
      <c r="G167" s="204"/>
      <c r="H167" s="204"/>
      <c r="I167" s="204"/>
      <c r="J167" s="204"/>
      <c r="K167" s="287"/>
      <c r="L167" s="287"/>
      <c r="M167" s="287"/>
      <c r="N167" s="287"/>
    </row>
    <row r="168" spans="1:14" ht="12.75">
      <c r="A168" s="284"/>
      <c r="B168" s="284"/>
      <c r="C168" s="284"/>
      <c r="D168" s="284"/>
      <c r="E168" s="204"/>
      <c r="F168" s="204"/>
      <c r="G168" s="204"/>
      <c r="H168" s="204"/>
      <c r="I168" s="204"/>
      <c r="J168" s="204"/>
      <c r="K168" s="287"/>
      <c r="L168" s="287"/>
      <c r="M168" s="287"/>
      <c r="N168" s="287"/>
    </row>
    <row r="169" spans="1:14" ht="12.75">
      <c r="A169" s="284"/>
      <c r="B169" s="284"/>
      <c r="C169" s="284"/>
      <c r="D169" s="284"/>
      <c r="E169" s="204"/>
      <c r="F169" s="204"/>
      <c r="G169" s="204"/>
      <c r="H169" s="204"/>
      <c r="I169" s="204"/>
      <c r="J169" s="204"/>
      <c r="K169" s="287"/>
      <c r="L169" s="287"/>
      <c r="M169" s="287"/>
      <c r="N169" s="287"/>
    </row>
    <row r="170" spans="1:14" ht="12.75">
      <c r="A170" s="284"/>
      <c r="B170" s="284"/>
      <c r="C170" s="284"/>
      <c r="D170" s="284"/>
      <c r="E170" s="204"/>
      <c r="F170" s="204"/>
      <c r="G170" s="204"/>
      <c r="H170" s="204"/>
      <c r="I170" s="204"/>
      <c r="J170" s="204"/>
      <c r="K170" s="287"/>
      <c r="L170" s="287"/>
      <c r="M170" s="287"/>
      <c r="N170" s="287"/>
    </row>
    <row r="171" spans="1:14" ht="12.75">
      <c r="A171" s="284"/>
      <c r="B171" s="284"/>
      <c r="C171" s="284"/>
      <c r="D171" s="284"/>
      <c r="E171" s="204"/>
      <c r="F171" s="204"/>
      <c r="G171" s="204"/>
      <c r="H171" s="204"/>
      <c r="I171" s="204"/>
      <c r="J171" s="204"/>
      <c r="K171" s="287"/>
      <c r="L171" s="287"/>
      <c r="M171" s="287"/>
      <c r="N171" s="287"/>
    </row>
    <row r="172" spans="1:14" ht="12.75">
      <c r="A172" s="284"/>
      <c r="B172" s="284"/>
      <c r="C172" s="284"/>
      <c r="D172" s="284"/>
      <c r="E172" s="204"/>
      <c r="F172" s="204"/>
      <c r="G172" s="204"/>
      <c r="H172" s="204"/>
      <c r="I172" s="204"/>
      <c r="J172" s="204"/>
      <c r="K172" s="287"/>
      <c r="L172" s="287"/>
      <c r="M172" s="287"/>
      <c r="N172" s="287"/>
    </row>
    <row r="173" spans="1:14" ht="12.75">
      <c r="A173" s="284"/>
      <c r="B173" s="284"/>
      <c r="C173" s="284"/>
      <c r="D173" s="284"/>
      <c r="E173" s="204"/>
      <c r="F173" s="204"/>
      <c r="G173" s="204"/>
      <c r="H173" s="204"/>
      <c r="I173" s="204"/>
      <c r="J173" s="204"/>
      <c r="K173" s="287"/>
      <c r="L173" s="287"/>
      <c r="M173" s="287"/>
      <c r="N173" s="287"/>
    </row>
    <row r="174" spans="1:14" ht="12.75">
      <c r="A174" s="284"/>
      <c r="B174" s="284"/>
      <c r="C174" s="284"/>
      <c r="D174" s="284"/>
      <c r="E174" s="204"/>
      <c r="F174" s="204"/>
      <c r="G174" s="204"/>
      <c r="H174" s="204"/>
      <c r="I174" s="204"/>
      <c r="J174" s="204"/>
      <c r="K174" s="287"/>
      <c r="L174" s="287"/>
      <c r="M174" s="287"/>
      <c r="N174" s="287"/>
    </row>
    <row r="175" spans="1:14" ht="12.75">
      <c r="A175" s="284"/>
      <c r="B175" s="284"/>
      <c r="C175" s="284"/>
      <c r="D175" s="284"/>
      <c r="E175" s="204"/>
      <c r="F175" s="204"/>
      <c r="G175" s="204"/>
      <c r="H175" s="204"/>
      <c r="I175" s="204"/>
      <c r="J175" s="204"/>
      <c r="K175" s="287"/>
      <c r="L175" s="287"/>
      <c r="M175" s="287"/>
      <c r="N175" s="287"/>
    </row>
    <row r="176" spans="1:14" ht="12.75">
      <c r="A176" s="284"/>
      <c r="B176" s="284"/>
      <c r="C176" s="284"/>
      <c r="D176" s="284"/>
      <c r="E176" s="204"/>
      <c r="F176" s="204"/>
      <c r="G176" s="204"/>
      <c r="H176" s="204"/>
      <c r="I176" s="204"/>
      <c r="J176" s="204"/>
      <c r="K176" s="287"/>
      <c r="L176" s="287"/>
      <c r="M176" s="287"/>
      <c r="N176" s="287"/>
    </row>
    <row r="177" spans="1:14" ht="12.75">
      <c r="A177" s="284"/>
      <c r="B177" s="284"/>
      <c r="C177" s="284"/>
      <c r="D177" s="284"/>
      <c r="E177" s="204"/>
      <c r="F177" s="204"/>
      <c r="G177" s="204"/>
      <c r="H177" s="204"/>
      <c r="I177" s="204"/>
      <c r="J177" s="204"/>
      <c r="K177" s="287"/>
      <c r="L177" s="287"/>
      <c r="M177" s="287"/>
      <c r="N177" s="287"/>
    </row>
    <row r="178" spans="1:14" ht="12.75">
      <c r="A178" s="284"/>
      <c r="B178" s="284"/>
      <c r="C178" s="284"/>
      <c r="D178" s="284"/>
      <c r="E178" s="204"/>
      <c r="F178" s="204"/>
      <c r="G178" s="204"/>
      <c r="H178" s="204"/>
      <c r="I178" s="204"/>
      <c r="J178" s="204"/>
      <c r="K178" s="287"/>
      <c r="L178" s="287"/>
      <c r="M178" s="287"/>
      <c r="N178" s="287"/>
    </row>
    <row r="179" spans="1:14" ht="12.75">
      <c r="A179" s="284"/>
      <c r="B179" s="284"/>
      <c r="C179" s="284"/>
      <c r="D179" s="284"/>
      <c r="E179" s="204"/>
      <c r="F179" s="204"/>
      <c r="G179" s="204"/>
      <c r="H179" s="204"/>
      <c r="I179" s="204"/>
      <c r="J179" s="204"/>
      <c r="K179" s="287"/>
      <c r="L179" s="287"/>
      <c r="M179" s="287"/>
      <c r="N179" s="287"/>
    </row>
    <row r="180" spans="1:14" ht="12.75">
      <c r="A180" s="284"/>
      <c r="B180" s="284"/>
      <c r="C180" s="284"/>
      <c r="D180" s="284"/>
      <c r="E180" s="204"/>
      <c r="F180" s="204"/>
      <c r="G180" s="204"/>
      <c r="H180" s="204"/>
      <c r="I180" s="204"/>
      <c r="J180" s="204"/>
      <c r="K180" s="287"/>
      <c r="L180" s="287"/>
      <c r="M180" s="287"/>
      <c r="N180" s="287"/>
    </row>
    <row r="181" spans="1:14" ht="12.75">
      <c r="A181" s="284"/>
      <c r="B181" s="284"/>
      <c r="C181" s="284"/>
      <c r="D181" s="284"/>
      <c r="E181" s="204"/>
      <c r="F181" s="204"/>
      <c r="G181" s="204"/>
      <c r="H181" s="204"/>
      <c r="I181" s="204"/>
      <c r="J181" s="204"/>
      <c r="K181" s="287"/>
      <c r="L181" s="287"/>
      <c r="M181" s="287"/>
      <c r="N181" s="287"/>
    </row>
    <row r="182" spans="1:14" ht="12.75">
      <c r="A182" s="284"/>
      <c r="B182" s="284"/>
      <c r="C182" s="284"/>
      <c r="D182" s="284"/>
      <c r="E182" s="204"/>
      <c r="F182" s="204"/>
      <c r="G182" s="204"/>
      <c r="H182" s="204"/>
      <c r="I182" s="204"/>
      <c r="J182" s="204"/>
      <c r="K182" s="287"/>
      <c r="L182" s="287"/>
      <c r="M182" s="287"/>
      <c r="N182" s="287"/>
    </row>
    <row r="183" spans="1:14" ht="12.75">
      <c r="A183" s="284"/>
      <c r="B183" s="284"/>
      <c r="C183" s="284"/>
      <c r="D183" s="284"/>
      <c r="E183" s="204"/>
      <c r="F183" s="204"/>
      <c r="G183" s="204"/>
      <c r="H183" s="204"/>
      <c r="I183" s="204"/>
      <c r="J183" s="204"/>
      <c r="K183" s="287"/>
      <c r="L183" s="287"/>
      <c r="M183" s="287"/>
      <c r="N183" s="287"/>
    </row>
    <row r="184" spans="1:14" ht="12.75">
      <c r="A184" s="284"/>
      <c r="B184" s="284"/>
      <c r="C184" s="284"/>
      <c r="D184" s="284"/>
      <c r="E184" s="204"/>
      <c r="F184" s="204"/>
      <c r="G184" s="204"/>
      <c r="H184" s="204"/>
      <c r="I184" s="204"/>
      <c r="J184" s="204"/>
      <c r="K184" s="287"/>
      <c r="L184" s="287"/>
      <c r="M184" s="287"/>
      <c r="N184" s="287"/>
    </row>
    <row r="185" spans="1:14" ht="12.75">
      <c r="A185" s="284"/>
      <c r="B185" s="284"/>
      <c r="C185" s="284"/>
      <c r="D185" s="284"/>
      <c r="E185" s="204"/>
      <c r="F185" s="204"/>
      <c r="G185" s="204"/>
      <c r="H185" s="204"/>
      <c r="I185" s="204"/>
      <c r="J185" s="204"/>
      <c r="K185" s="287"/>
      <c r="L185" s="287"/>
      <c r="M185" s="287"/>
      <c r="N185" s="287"/>
    </row>
    <row r="186" spans="1:14" ht="12.75">
      <c r="A186" s="284"/>
      <c r="B186" s="284"/>
      <c r="C186" s="284"/>
      <c r="D186" s="284"/>
      <c r="E186" s="204"/>
      <c r="F186" s="204"/>
      <c r="G186" s="204"/>
      <c r="H186" s="204"/>
      <c r="I186" s="204"/>
      <c r="J186" s="204"/>
      <c r="K186" s="287"/>
      <c r="L186" s="287"/>
      <c r="M186" s="287"/>
      <c r="N186" s="287"/>
    </row>
    <row r="187" spans="1:14" ht="12.75">
      <c r="A187" s="284"/>
      <c r="B187" s="284"/>
      <c r="C187" s="284"/>
      <c r="D187" s="284"/>
      <c r="E187" s="204"/>
      <c r="F187" s="204"/>
      <c r="G187" s="204"/>
      <c r="H187" s="204"/>
      <c r="I187" s="204"/>
      <c r="J187" s="204"/>
      <c r="K187" s="287"/>
      <c r="L187" s="287"/>
      <c r="M187" s="287"/>
      <c r="N187" s="287"/>
    </row>
    <row r="188" spans="1:14" ht="12.75">
      <c r="A188" s="284"/>
      <c r="B188" s="284"/>
      <c r="C188" s="284"/>
      <c r="D188" s="284"/>
      <c r="E188" s="204"/>
      <c r="F188" s="204"/>
      <c r="G188" s="204"/>
      <c r="H188" s="204"/>
      <c r="I188" s="204"/>
      <c r="J188" s="204"/>
      <c r="K188" s="287"/>
      <c r="L188" s="287"/>
      <c r="M188" s="287"/>
      <c r="N188" s="287"/>
    </row>
    <row r="189" spans="1:14" ht="12.75">
      <c r="A189" s="284"/>
      <c r="B189" s="284"/>
      <c r="C189" s="284"/>
      <c r="D189" s="284"/>
      <c r="E189" s="204"/>
      <c r="F189" s="204"/>
      <c r="G189" s="204"/>
      <c r="H189" s="204"/>
      <c r="I189" s="204"/>
      <c r="J189" s="204"/>
      <c r="K189" s="287"/>
      <c r="L189" s="287"/>
      <c r="M189" s="287"/>
      <c r="N189" s="287"/>
    </row>
    <row r="190" spans="1:14" ht="12.75">
      <c r="A190" s="284"/>
      <c r="B190" s="284"/>
      <c r="C190" s="284"/>
      <c r="D190" s="284"/>
      <c r="E190" s="204"/>
      <c r="F190" s="204"/>
      <c r="G190" s="204"/>
      <c r="H190" s="204"/>
      <c r="I190" s="204"/>
      <c r="J190" s="204"/>
      <c r="K190" s="287"/>
      <c r="L190" s="287"/>
      <c r="M190" s="287"/>
      <c r="N190" s="287"/>
    </row>
    <row r="191" spans="1:14" ht="12.75">
      <c r="A191" s="284"/>
      <c r="B191" s="284"/>
      <c r="C191" s="284"/>
      <c r="D191" s="284"/>
      <c r="E191" s="204"/>
      <c r="F191" s="204"/>
      <c r="G191" s="204"/>
      <c r="H191" s="204"/>
      <c r="I191" s="204"/>
      <c r="J191" s="204"/>
      <c r="K191" s="287"/>
      <c r="L191" s="287"/>
      <c r="M191" s="287"/>
      <c r="N191" s="287"/>
    </row>
    <row r="192" spans="1:14" ht="12.75">
      <c r="A192" s="284"/>
      <c r="B192" s="284"/>
      <c r="C192" s="284"/>
      <c r="D192" s="284"/>
      <c r="E192" s="204"/>
      <c r="F192" s="204"/>
      <c r="G192" s="204"/>
      <c r="H192" s="204"/>
      <c r="I192" s="204"/>
      <c r="J192" s="204"/>
      <c r="K192" s="287"/>
      <c r="L192" s="287"/>
      <c r="M192" s="287"/>
      <c r="N192" s="287"/>
    </row>
    <row r="193" spans="1:14" ht="12.75">
      <c r="A193" s="284"/>
      <c r="B193" s="284"/>
      <c r="C193" s="284"/>
      <c r="D193" s="284"/>
      <c r="E193" s="204"/>
      <c r="F193" s="204"/>
      <c r="G193" s="204"/>
      <c r="H193" s="204"/>
      <c r="I193" s="204"/>
      <c r="J193" s="204"/>
      <c r="K193" s="287"/>
      <c r="L193" s="287"/>
      <c r="M193" s="287"/>
      <c r="N193" s="287"/>
    </row>
    <row r="194" spans="1:14" ht="12.75">
      <c r="A194" s="284"/>
      <c r="B194" s="284"/>
      <c r="C194" s="284"/>
      <c r="D194" s="284"/>
      <c r="E194" s="204"/>
      <c r="F194" s="204"/>
      <c r="G194" s="204"/>
      <c r="H194" s="204"/>
      <c r="I194" s="204"/>
      <c r="J194" s="204"/>
      <c r="K194" s="287"/>
      <c r="L194" s="287"/>
      <c r="M194" s="287"/>
      <c r="N194" s="287"/>
    </row>
    <row r="195" spans="1:14" ht="12.75">
      <c r="A195" s="284"/>
      <c r="B195" s="284"/>
      <c r="C195" s="284"/>
      <c r="D195" s="284"/>
      <c r="E195" s="204"/>
      <c r="F195" s="204"/>
      <c r="G195" s="204"/>
      <c r="H195" s="204"/>
      <c r="I195" s="204"/>
      <c r="J195" s="204"/>
      <c r="K195" s="287"/>
      <c r="L195" s="287"/>
      <c r="M195" s="287"/>
      <c r="N195" s="287"/>
    </row>
    <row r="196" spans="1:14" ht="12.75">
      <c r="A196" s="284"/>
      <c r="B196" s="284"/>
      <c r="C196" s="284"/>
      <c r="D196" s="284"/>
      <c r="E196" s="204"/>
      <c r="F196" s="204"/>
      <c r="G196" s="204"/>
      <c r="H196" s="204"/>
      <c r="I196" s="204"/>
      <c r="J196" s="204"/>
      <c r="K196" s="287"/>
      <c r="L196" s="287"/>
      <c r="M196" s="287"/>
      <c r="N196" s="287"/>
    </row>
    <row r="197" spans="1:14" ht="12.75">
      <c r="A197" s="284"/>
      <c r="B197" s="284"/>
      <c r="C197" s="284"/>
      <c r="D197" s="284"/>
      <c r="E197" s="204"/>
      <c r="F197" s="204"/>
      <c r="G197" s="204"/>
      <c r="H197" s="204"/>
      <c r="I197" s="204"/>
      <c r="J197" s="204"/>
      <c r="K197" s="287"/>
      <c r="L197" s="287"/>
      <c r="M197" s="287"/>
      <c r="N197" s="287"/>
    </row>
    <row r="198" spans="1:14" ht="12.75">
      <c r="A198" s="284"/>
      <c r="B198" s="284"/>
      <c r="C198" s="284"/>
      <c r="D198" s="284"/>
      <c r="E198" s="204"/>
      <c r="F198" s="204"/>
      <c r="G198" s="204"/>
      <c r="H198" s="204"/>
      <c r="I198" s="204"/>
      <c r="J198" s="204"/>
      <c r="K198" s="287"/>
      <c r="L198" s="287"/>
      <c r="M198" s="287"/>
      <c r="N198" s="287"/>
    </row>
    <row r="199" spans="1:14" ht="12.75">
      <c r="A199" s="284"/>
      <c r="B199" s="284"/>
      <c r="C199" s="284"/>
      <c r="D199" s="284"/>
      <c r="E199" s="204"/>
      <c r="F199" s="204"/>
      <c r="G199" s="204"/>
      <c r="H199" s="204"/>
      <c r="I199" s="204"/>
      <c r="J199" s="204"/>
      <c r="K199" s="287"/>
      <c r="L199" s="287"/>
      <c r="M199" s="287"/>
      <c r="N199" s="287"/>
    </row>
    <row r="200" spans="1:14" ht="12.75">
      <c r="A200" s="284"/>
      <c r="B200" s="284"/>
      <c r="C200" s="284"/>
      <c r="D200" s="284"/>
      <c r="E200" s="204"/>
      <c r="F200" s="204"/>
      <c r="G200" s="204"/>
      <c r="H200" s="204"/>
      <c r="I200" s="204"/>
      <c r="J200" s="204"/>
      <c r="K200" s="287"/>
      <c r="L200" s="287"/>
      <c r="M200" s="287"/>
      <c r="N200" s="287"/>
    </row>
    <row r="201" spans="1:14" ht="12.75">
      <c r="A201" s="284"/>
      <c r="B201" s="284"/>
      <c r="C201" s="284"/>
      <c r="D201" s="284"/>
      <c r="E201" s="204"/>
      <c r="F201" s="204"/>
      <c r="G201" s="204"/>
      <c r="H201" s="204"/>
      <c r="I201" s="204"/>
      <c r="J201" s="204"/>
      <c r="K201" s="287"/>
      <c r="L201" s="287"/>
      <c r="M201" s="287"/>
      <c r="N201" s="287"/>
    </row>
    <row r="202" spans="1:14" ht="12.75">
      <c r="A202" s="284"/>
      <c r="B202" s="284"/>
      <c r="C202" s="284"/>
      <c r="D202" s="284"/>
      <c r="E202" s="204"/>
      <c r="F202" s="204"/>
      <c r="G202" s="204"/>
      <c r="H202" s="204"/>
      <c r="I202" s="204"/>
      <c r="J202" s="204"/>
      <c r="K202" s="287"/>
      <c r="L202" s="287"/>
      <c r="M202" s="287"/>
      <c r="N202" s="287"/>
    </row>
    <row r="203" spans="1:14" ht="12.75">
      <c r="A203" s="284"/>
      <c r="B203" s="284"/>
      <c r="C203" s="284"/>
      <c r="D203" s="284"/>
      <c r="E203" s="204"/>
      <c r="F203" s="204"/>
      <c r="G203" s="204"/>
      <c r="H203" s="204"/>
      <c r="I203" s="204"/>
      <c r="J203" s="204"/>
      <c r="K203" s="287"/>
      <c r="L203" s="287"/>
      <c r="M203" s="287"/>
      <c r="N203" s="287"/>
    </row>
    <row r="204" spans="1:14" ht="12.75">
      <c r="A204" s="284"/>
      <c r="B204" s="284"/>
      <c r="C204" s="284"/>
      <c r="D204" s="284"/>
      <c r="E204" s="204"/>
      <c r="F204" s="204"/>
      <c r="G204" s="204"/>
      <c r="H204" s="204"/>
      <c r="I204" s="204"/>
      <c r="J204" s="204"/>
      <c r="K204" s="287"/>
      <c r="L204" s="287"/>
      <c r="M204" s="287"/>
      <c r="N204" s="287"/>
    </row>
    <row r="205" spans="1:14" ht="12.75">
      <c r="A205" s="284"/>
      <c r="B205" s="284"/>
      <c r="C205" s="284"/>
      <c r="D205" s="284"/>
      <c r="E205" s="204"/>
      <c r="F205" s="204"/>
      <c r="G205" s="204"/>
      <c r="H205" s="204"/>
      <c r="I205" s="204"/>
      <c r="J205" s="204"/>
      <c r="K205" s="287"/>
      <c r="L205" s="287"/>
      <c r="M205" s="287"/>
      <c r="N205" s="287"/>
    </row>
    <row r="206" spans="1:14" ht="12.75">
      <c r="A206" s="284"/>
      <c r="B206" s="284"/>
      <c r="C206" s="284"/>
      <c r="D206" s="284"/>
      <c r="E206" s="204"/>
      <c r="F206" s="204"/>
      <c r="G206" s="204"/>
      <c r="H206" s="204"/>
      <c r="I206" s="204"/>
      <c r="J206" s="204"/>
      <c r="K206" s="287"/>
      <c r="L206" s="287"/>
      <c r="M206" s="287"/>
      <c r="N206" s="287"/>
    </row>
    <row r="207" spans="1:14" ht="12.75">
      <c r="A207" s="284"/>
      <c r="B207" s="284"/>
      <c r="C207" s="284"/>
      <c r="D207" s="284"/>
      <c r="E207" s="204"/>
      <c r="F207" s="204"/>
      <c r="G207" s="204"/>
      <c r="H207" s="204"/>
      <c r="I207" s="204"/>
      <c r="J207" s="204"/>
      <c r="K207" s="287"/>
      <c r="L207" s="287"/>
      <c r="M207" s="287"/>
      <c r="N207" s="287"/>
    </row>
    <row r="208" spans="1:14" ht="12.75">
      <c r="A208" s="284"/>
      <c r="B208" s="284"/>
      <c r="C208" s="284"/>
      <c r="D208" s="284"/>
      <c r="E208" s="204"/>
      <c r="F208" s="204"/>
      <c r="G208" s="204"/>
      <c r="H208" s="204"/>
      <c r="I208" s="204"/>
      <c r="J208" s="204"/>
      <c r="K208" s="287"/>
      <c r="L208" s="287"/>
      <c r="M208" s="287"/>
      <c r="N208" s="287"/>
    </row>
    <row r="209" spans="1:14" ht="12.75">
      <c r="A209" s="284"/>
      <c r="B209" s="284"/>
      <c r="C209" s="284"/>
      <c r="D209" s="284"/>
      <c r="E209" s="204"/>
      <c r="F209" s="204"/>
      <c r="G209" s="204"/>
      <c r="H209" s="204"/>
      <c r="I209" s="204"/>
      <c r="J209" s="204"/>
      <c r="K209" s="287"/>
      <c r="L209" s="287"/>
      <c r="M209" s="287"/>
      <c r="N209" s="287"/>
    </row>
    <row r="210" spans="1:14" ht="12.75">
      <c r="A210" s="284"/>
      <c r="B210" s="284"/>
      <c r="C210" s="284"/>
      <c r="D210" s="284"/>
      <c r="E210" s="204"/>
      <c r="F210" s="204"/>
      <c r="G210" s="204"/>
      <c r="H210" s="204"/>
      <c r="I210" s="204"/>
      <c r="J210" s="204"/>
      <c r="K210" s="287"/>
      <c r="L210" s="287"/>
      <c r="M210" s="287"/>
      <c r="N210" s="287"/>
    </row>
    <row r="211" spans="1:14" ht="12.75">
      <c r="A211" s="284"/>
      <c r="B211" s="284"/>
      <c r="C211" s="284"/>
      <c r="D211" s="284"/>
      <c r="E211" s="204"/>
      <c r="F211" s="204"/>
      <c r="G211" s="204"/>
      <c r="H211" s="204"/>
      <c r="I211" s="204"/>
      <c r="J211" s="204"/>
      <c r="K211" s="287"/>
      <c r="L211" s="287"/>
      <c r="M211" s="287"/>
      <c r="N211" s="287"/>
    </row>
    <row r="212" spans="1:14" ht="12.75">
      <c r="A212" s="284"/>
      <c r="B212" s="284"/>
      <c r="C212" s="284"/>
      <c r="D212" s="284"/>
      <c r="E212" s="204"/>
      <c r="F212" s="204"/>
      <c r="G212" s="204"/>
      <c r="H212" s="204"/>
      <c r="I212" s="204"/>
      <c r="J212" s="204"/>
      <c r="K212" s="287"/>
      <c r="L212" s="287"/>
      <c r="M212" s="287"/>
      <c r="N212" s="287"/>
    </row>
    <row r="213" spans="1:14" ht="12.75">
      <c r="A213" s="284"/>
      <c r="B213" s="284"/>
      <c r="C213" s="284"/>
      <c r="D213" s="284"/>
      <c r="E213" s="204"/>
      <c r="F213" s="204"/>
      <c r="G213" s="204"/>
      <c r="H213" s="204"/>
      <c r="I213" s="204"/>
      <c r="J213" s="204"/>
      <c r="K213" s="287"/>
      <c r="L213" s="287"/>
      <c r="M213" s="287"/>
      <c r="N213" s="287"/>
    </row>
    <row r="214" spans="1:14" ht="12.75">
      <c r="A214" s="284"/>
      <c r="B214" s="284"/>
      <c r="C214" s="284"/>
      <c r="D214" s="284"/>
      <c r="E214" s="204"/>
      <c r="F214" s="204"/>
      <c r="G214" s="204"/>
      <c r="H214" s="204"/>
      <c r="I214" s="204"/>
      <c r="J214" s="204"/>
      <c r="K214" s="287"/>
      <c r="L214" s="287"/>
      <c r="M214" s="287"/>
      <c r="N214" s="287"/>
    </row>
    <row r="215" spans="1:14" ht="12.75">
      <c r="A215" s="284"/>
      <c r="B215" s="284"/>
      <c r="C215" s="284"/>
      <c r="D215" s="284"/>
      <c r="E215" s="204"/>
      <c r="F215" s="204"/>
      <c r="G215" s="204"/>
      <c r="H215" s="204"/>
      <c r="I215" s="204"/>
      <c r="J215" s="204"/>
      <c r="K215" s="287"/>
      <c r="L215" s="287"/>
      <c r="M215" s="287"/>
      <c r="N215" s="287"/>
    </row>
    <row r="216" spans="1:14" ht="12.75">
      <c r="A216" s="284"/>
      <c r="B216" s="284"/>
      <c r="C216" s="284"/>
      <c r="D216" s="284"/>
      <c r="E216" s="204"/>
      <c r="F216" s="204"/>
      <c r="G216" s="204"/>
      <c r="H216" s="204"/>
      <c r="I216" s="204"/>
      <c r="J216" s="204"/>
      <c r="K216" s="287"/>
      <c r="L216" s="287"/>
      <c r="M216" s="287"/>
      <c r="N216" s="287"/>
    </row>
    <row r="217" spans="1:14" ht="12.75">
      <c r="A217" s="284"/>
      <c r="B217" s="284"/>
      <c r="C217" s="284"/>
      <c r="D217" s="284"/>
      <c r="E217" s="204"/>
      <c r="F217" s="204"/>
      <c r="G217" s="204"/>
      <c r="H217" s="204"/>
      <c r="I217" s="204"/>
      <c r="J217" s="204"/>
      <c r="K217" s="287"/>
      <c r="L217" s="287"/>
      <c r="M217" s="287"/>
      <c r="N217" s="287"/>
    </row>
    <row r="218" spans="1:14" ht="12.75">
      <c r="A218" s="284"/>
      <c r="B218" s="284"/>
      <c r="C218" s="284"/>
      <c r="D218" s="284"/>
      <c r="E218" s="204"/>
      <c r="F218" s="204"/>
      <c r="G218" s="204"/>
      <c r="H218" s="204"/>
      <c r="I218" s="204"/>
      <c r="J218" s="204"/>
      <c r="K218" s="287"/>
      <c r="L218" s="287"/>
      <c r="M218" s="287"/>
      <c r="N218" s="287"/>
    </row>
    <row r="219" spans="1:14" ht="12.75">
      <c r="A219" s="284"/>
      <c r="B219" s="284"/>
      <c r="C219" s="284"/>
      <c r="D219" s="284"/>
      <c r="E219" s="204"/>
      <c r="F219" s="204"/>
      <c r="G219" s="204"/>
      <c r="H219" s="204"/>
      <c r="I219" s="204"/>
      <c r="J219" s="204"/>
      <c r="K219" s="287"/>
      <c r="L219" s="287"/>
      <c r="M219" s="287"/>
      <c r="N219" s="287"/>
    </row>
    <row r="220" spans="1:14" ht="12.75">
      <c r="A220" s="284"/>
      <c r="B220" s="284"/>
      <c r="C220" s="284"/>
      <c r="D220" s="284"/>
      <c r="E220" s="204"/>
      <c r="F220" s="204"/>
      <c r="G220" s="204"/>
      <c r="H220" s="204"/>
      <c r="I220" s="204"/>
      <c r="J220" s="204"/>
      <c r="K220" s="287"/>
      <c r="L220" s="287"/>
      <c r="M220" s="287"/>
      <c r="N220" s="287"/>
    </row>
    <row r="221" spans="1:14" ht="12.75">
      <c r="A221" s="284"/>
      <c r="B221" s="284"/>
      <c r="C221" s="284"/>
      <c r="D221" s="284"/>
      <c r="E221" s="204"/>
      <c r="F221" s="204"/>
      <c r="G221" s="204"/>
      <c r="H221" s="204"/>
      <c r="I221" s="204"/>
      <c r="J221" s="204"/>
      <c r="K221" s="287"/>
      <c r="L221" s="287"/>
      <c r="M221" s="287"/>
      <c r="N221" s="287"/>
    </row>
    <row r="222" spans="1:14" ht="12.75">
      <c r="A222" s="284"/>
      <c r="B222" s="284"/>
      <c r="C222" s="284"/>
      <c r="D222" s="284"/>
      <c r="E222" s="204"/>
      <c r="F222" s="204"/>
      <c r="G222" s="204"/>
      <c r="H222" s="204"/>
      <c r="I222" s="204"/>
      <c r="J222" s="204"/>
      <c r="K222" s="287"/>
      <c r="L222" s="287"/>
      <c r="M222" s="287"/>
      <c r="N222" s="287"/>
    </row>
    <row r="223" spans="1:14" ht="12.75">
      <c r="A223" s="284"/>
      <c r="B223" s="284"/>
      <c r="C223" s="284"/>
      <c r="D223" s="284"/>
      <c r="E223" s="204"/>
      <c r="F223" s="204"/>
      <c r="G223" s="204"/>
      <c r="H223" s="204"/>
      <c r="I223" s="204"/>
      <c r="J223" s="204"/>
      <c r="K223" s="287"/>
      <c r="L223" s="287"/>
      <c r="M223" s="287"/>
      <c r="N223" s="287"/>
    </row>
    <row r="224" spans="1:14" ht="12.75">
      <c r="A224" s="284"/>
      <c r="B224" s="284"/>
      <c r="C224" s="284"/>
      <c r="D224" s="284"/>
      <c r="E224" s="204"/>
      <c r="F224" s="204"/>
      <c r="G224" s="204"/>
      <c r="H224" s="204"/>
      <c r="I224" s="204"/>
      <c r="J224" s="204"/>
      <c r="K224" s="287"/>
      <c r="L224" s="287"/>
      <c r="M224" s="287"/>
      <c r="N224" s="287"/>
    </row>
    <row r="225" spans="1:14" ht="12.75">
      <c r="A225" s="284"/>
      <c r="B225" s="284"/>
      <c r="C225" s="284"/>
      <c r="D225" s="284"/>
      <c r="E225" s="204"/>
      <c r="F225" s="204"/>
      <c r="G225" s="204"/>
      <c r="H225" s="204"/>
      <c r="I225" s="204"/>
      <c r="J225" s="204"/>
      <c r="K225" s="287"/>
      <c r="L225" s="287"/>
      <c r="M225" s="287"/>
      <c r="N225" s="287"/>
    </row>
    <row r="226" spans="1:14" ht="12.75">
      <c r="A226" s="284"/>
      <c r="B226" s="284"/>
      <c r="C226" s="284"/>
      <c r="D226" s="284"/>
      <c r="E226" s="204"/>
      <c r="F226" s="204"/>
      <c r="G226" s="204"/>
      <c r="H226" s="204"/>
      <c r="I226" s="204"/>
      <c r="J226" s="204"/>
      <c r="K226" s="287"/>
      <c r="L226" s="287"/>
      <c r="M226" s="287"/>
      <c r="N226" s="287"/>
    </row>
    <row r="227" spans="1:14" ht="12.75">
      <c r="A227" s="284"/>
      <c r="B227" s="284"/>
      <c r="C227" s="284"/>
      <c r="D227" s="284"/>
      <c r="E227" s="204"/>
      <c r="F227" s="204"/>
      <c r="G227" s="204"/>
      <c r="H227" s="204"/>
      <c r="I227" s="204"/>
      <c r="J227" s="204"/>
      <c r="K227" s="287"/>
      <c r="L227" s="287"/>
      <c r="M227" s="287"/>
      <c r="N227" s="287"/>
    </row>
    <row r="228" spans="1:14" ht="12.75">
      <c r="A228" s="284"/>
      <c r="B228" s="284"/>
      <c r="C228" s="284"/>
      <c r="D228" s="284"/>
      <c r="E228" s="204"/>
      <c r="F228" s="204"/>
      <c r="G228" s="204"/>
      <c r="H228" s="204"/>
      <c r="I228" s="204"/>
      <c r="J228" s="204"/>
      <c r="K228" s="287"/>
      <c r="L228" s="287"/>
      <c r="M228" s="287"/>
      <c r="N228" s="287"/>
    </row>
    <row r="229" spans="1:14" ht="12.75">
      <c r="A229" s="284"/>
      <c r="B229" s="284"/>
      <c r="C229" s="284"/>
      <c r="D229" s="284"/>
      <c r="E229" s="204"/>
      <c r="F229" s="204"/>
      <c r="G229" s="204"/>
      <c r="H229" s="204"/>
      <c r="I229" s="204"/>
      <c r="J229" s="204"/>
      <c r="K229" s="287"/>
      <c r="L229" s="287"/>
      <c r="M229" s="287"/>
      <c r="N229" s="287"/>
    </row>
    <row r="230" spans="1:14" ht="12.75">
      <c r="A230" s="284"/>
      <c r="B230" s="284"/>
      <c r="C230" s="284"/>
      <c r="D230" s="284"/>
      <c r="E230" s="204"/>
      <c r="F230" s="204"/>
      <c r="G230" s="204"/>
      <c r="H230" s="204"/>
      <c r="I230" s="204"/>
      <c r="J230" s="204"/>
      <c r="K230" s="287"/>
      <c r="L230" s="287"/>
      <c r="M230" s="287"/>
      <c r="N230" s="287"/>
    </row>
    <row r="231" spans="1:14" ht="12.75">
      <c r="A231" s="284"/>
      <c r="B231" s="284"/>
      <c r="C231" s="284"/>
      <c r="D231" s="284"/>
      <c r="E231" s="204"/>
      <c r="F231" s="204"/>
      <c r="G231" s="204"/>
      <c r="H231" s="204"/>
      <c r="I231" s="204"/>
      <c r="J231" s="204"/>
      <c r="K231" s="287"/>
      <c r="L231" s="287"/>
      <c r="M231" s="287"/>
      <c r="N231" s="287"/>
    </row>
    <row r="232" spans="1:14" ht="12.75">
      <c r="A232" s="284"/>
      <c r="B232" s="284"/>
      <c r="C232" s="284"/>
      <c r="D232" s="284"/>
      <c r="E232" s="204"/>
      <c r="F232" s="204"/>
      <c r="G232" s="204"/>
      <c r="H232" s="204"/>
      <c r="I232" s="204"/>
      <c r="J232" s="204"/>
      <c r="K232" s="287"/>
      <c r="L232" s="287"/>
      <c r="M232" s="287"/>
      <c r="N232" s="287"/>
    </row>
    <row r="233" spans="1:14" ht="12.75">
      <c r="A233" s="284"/>
      <c r="B233" s="284"/>
      <c r="C233" s="284"/>
      <c r="D233" s="284"/>
      <c r="E233" s="204"/>
      <c r="F233" s="204"/>
      <c r="G233" s="204"/>
      <c r="H233" s="204"/>
      <c r="I233" s="204"/>
      <c r="J233" s="204"/>
      <c r="K233" s="287"/>
      <c r="L233" s="287"/>
      <c r="M233" s="287"/>
      <c r="N233" s="287"/>
    </row>
    <row r="234" spans="1:14" ht="12.75">
      <c r="A234" s="284"/>
      <c r="B234" s="284"/>
      <c r="C234" s="284"/>
      <c r="D234" s="284"/>
      <c r="E234" s="204"/>
      <c r="F234" s="204"/>
      <c r="G234" s="204"/>
      <c r="H234" s="204"/>
      <c r="I234" s="204"/>
      <c r="J234" s="204"/>
      <c r="K234" s="287"/>
      <c r="L234" s="287"/>
      <c r="M234" s="287"/>
      <c r="N234" s="287"/>
    </row>
    <row r="235" spans="1:14" ht="12.75">
      <c r="A235" s="284"/>
      <c r="B235" s="284"/>
      <c r="C235" s="284"/>
      <c r="D235" s="284"/>
      <c r="E235" s="204"/>
      <c r="F235" s="204"/>
      <c r="G235" s="204"/>
      <c r="H235" s="204"/>
      <c r="I235" s="204"/>
      <c r="J235" s="204"/>
      <c r="K235" s="287"/>
      <c r="L235" s="287"/>
      <c r="M235" s="287"/>
      <c r="N235" s="287"/>
    </row>
    <row r="236" spans="1:14" ht="12.75">
      <c r="A236" s="284"/>
      <c r="B236" s="284"/>
      <c r="C236" s="284"/>
      <c r="D236" s="284"/>
      <c r="E236" s="204"/>
      <c r="F236" s="204"/>
      <c r="G236" s="204"/>
      <c r="H236" s="204"/>
      <c r="I236" s="204"/>
      <c r="J236" s="204"/>
      <c r="K236" s="287"/>
      <c r="L236" s="287"/>
      <c r="M236" s="287"/>
      <c r="N236" s="287"/>
    </row>
    <row r="237" spans="1:14" ht="12.75">
      <c r="A237" s="284"/>
      <c r="B237" s="284"/>
      <c r="C237" s="284"/>
      <c r="D237" s="284"/>
      <c r="E237" s="204"/>
      <c r="F237" s="204"/>
      <c r="G237" s="204"/>
      <c r="H237" s="204"/>
      <c r="I237" s="204"/>
      <c r="J237" s="204"/>
      <c r="K237" s="287"/>
      <c r="L237" s="287"/>
      <c r="M237" s="287"/>
      <c r="N237" s="287"/>
    </row>
    <row r="238" spans="1:14" ht="12.75">
      <c r="A238" s="284"/>
      <c r="B238" s="284"/>
      <c r="C238" s="284"/>
      <c r="D238" s="284"/>
      <c r="E238" s="204"/>
      <c r="F238" s="204"/>
      <c r="G238" s="204"/>
      <c r="H238" s="204"/>
      <c r="I238" s="204"/>
      <c r="J238" s="204"/>
      <c r="K238" s="287"/>
      <c r="L238" s="287"/>
      <c r="M238" s="287"/>
      <c r="N238" s="287"/>
    </row>
    <row r="239" spans="1:14" ht="12.75">
      <c r="A239" s="284"/>
      <c r="B239" s="284"/>
      <c r="C239" s="284"/>
      <c r="D239" s="284"/>
      <c r="E239" s="204"/>
      <c r="F239" s="204"/>
      <c r="G239" s="204"/>
      <c r="H239" s="204"/>
      <c r="I239" s="204"/>
      <c r="J239" s="204"/>
      <c r="K239" s="287"/>
      <c r="L239" s="287"/>
      <c r="M239" s="287"/>
      <c r="N239" s="287"/>
    </row>
    <row r="240" spans="1:14" ht="12.75">
      <c r="A240" s="284"/>
      <c r="B240" s="284"/>
      <c r="C240" s="284"/>
      <c r="D240" s="284"/>
      <c r="E240" s="204"/>
      <c r="F240" s="204"/>
      <c r="G240" s="204"/>
      <c r="H240" s="204"/>
      <c r="I240" s="204"/>
      <c r="J240" s="204"/>
      <c r="K240" s="287"/>
      <c r="L240" s="287"/>
      <c r="M240" s="287"/>
      <c r="N240" s="287"/>
    </row>
    <row r="241" spans="1:14" ht="12.75">
      <c r="A241" s="284"/>
      <c r="B241" s="284"/>
      <c r="C241" s="284"/>
      <c r="D241" s="284"/>
      <c r="E241" s="204"/>
      <c r="F241" s="204"/>
      <c r="G241" s="204"/>
      <c r="H241" s="204"/>
      <c r="I241" s="204"/>
      <c r="J241" s="204"/>
      <c r="K241" s="287"/>
      <c r="L241" s="287"/>
      <c r="M241" s="287"/>
      <c r="N241" s="287"/>
    </row>
    <row r="242" spans="1:14" ht="12.75">
      <c r="A242" s="284"/>
      <c r="B242" s="284"/>
      <c r="C242" s="284"/>
      <c r="D242" s="284"/>
      <c r="E242" s="204"/>
      <c r="F242" s="204"/>
      <c r="G242" s="204"/>
      <c r="H242" s="204"/>
      <c r="I242" s="204"/>
      <c r="J242" s="204"/>
      <c r="K242" s="287"/>
      <c r="L242" s="287"/>
      <c r="M242" s="287"/>
      <c r="N242" s="287"/>
    </row>
    <row r="243" spans="1:14" ht="12.75">
      <c r="A243" s="284"/>
      <c r="B243" s="284"/>
      <c r="C243" s="284"/>
      <c r="D243" s="284"/>
      <c r="E243" s="204"/>
      <c r="F243" s="204"/>
      <c r="G243" s="204"/>
      <c r="H243" s="204"/>
      <c r="I243" s="204"/>
      <c r="J243" s="204"/>
      <c r="K243" s="287"/>
      <c r="L243" s="287"/>
      <c r="M243" s="287"/>
      <c r="N243" s="287"/>
    </row>
    <row r="244" spans="1:14" ht="12.75">
      <c r="A244" s="284"/>
      <c r="B244" s="284"/>
      <c r="C244" s="284"/>
      <c r="D244" s="284"/>
      <c r="E244" s="204"/>
      <c r="F244" s="204"/>
      <c r="G244" s="204"/>
      <c r="H244" s="204"/>
      <c r="I244" s="204"/>
      <c r="J244" s="204"/>
      <c r="K244" s="287"/>
      <c r="L244" s="287"/>
      <c r="M244" s="287"/>
      <c r="N244" s="287"/>
    </row>
    <row r="245" spans="1:14" ht="12.75">
      <c r="A245" s="284"/>
      <c r="B245" s="284"/>
      <c r="C245" s="284"/>
      <c r="D245" s="284"/>
      <c r="E245" s="204"/>
      <c r="F245" s="204"/>
      <c r="G245" s="204"/>
      <c r="H245" s="204"/>
      <c r="I245" s="204"/>
      <c r="J245" s="204"/>
      <c r="K245" s="287"/>
      <c r="L245" s="287"/>
      <c r="M245" s="287"/>
      <c r="N245" s="287"/>
    </row>
    <row r="246" spans="1:14" ht="12.75">
      <c r="A246" s="284"/>
      <c r="B246" s="284"/>
      <c r="C246" s="284"/>
      <c r="D246" s="284"/>
      <c r="E246" s="204"/>
      <c r="F246" s="204"/>
      <c r="G246" s="204"/>
      <c r="H246" s="204"/>
      <c r="I246" s="204"/>
      <c r="J246" s="204"/>
      <c r="K246" s="287"/>
      <c r="L246" s="287"/>
      <c r="M246" s="287"/>
      <c r="N246" s="287"/>
    </row>
    <row r="247" spans="1:14" ht="12.75">
      <c r="A247" s="284"/>
      <c r="B247" s="284"/>
      <c r="C247" s="284"/>
      <c r="D247" s="284"/>
      <c r="E247" s="204"/>
      <c r="F247" s="204"/>
      <c r="G247" s="204"/>
      <c r="H247" s="204"/>
      <c r="I247" s="204"/>
      <c r="J247" s="204"/>
      <c r="K247" s="287"/>
      <c r="L247" s="287"/>
      <c r="M247" s="287"/>
      <c r="N247" s="287"/>
    </row>
    <row r="248" spans="1:14" ht="12.75">
      <c r="A248" s="284"/>
      <c r="B248" s="284"/>
      <c r="C248" s="284"/>
      <c r="D248" s="284"/>
      <c r="E248" s="204"/>
      <c r="F248" s="204"/>
      <c r="G248" s="204"/>
      <c r="H248" s="204"/>
      <c r="I248" s="204"/>
      <c r="J248" s="204"/>
      <c r="K248" s="287"/>
      <c r="L248" s="287"/>
      <c r="M248" s="287"/>
      <c r="N248" s="287"/>
    </row>
    <row r="249" spans="1:14" ht="12.75">
      <c r="A249" s="284"/>
      <c r="B249" s="284"/>
      <c r="C249" s="284"/>
      <c r="D249" s="284"/>
      <c r="E249" s="204"/>
      <c r="F249" s="204"/>
      <c r="G249" s="204"/>
      <c r="H249" s="204"/>
      <c r="I249" s="204"/>
      <c r="J249" s="204"/>
      <c r="K249" s="287"/>
      <c r="L249" s="287"/>
      <c r="M249" s="287"/>
      <c r="N249" s="287"/>
    </row>
    <row r="250" spans="1:14" ht="12.75">
      <c r="A250" s="284"/>
      <c r="B250" s="284"/>
      <c r="C250" s="284"/>
      <c r="D250" s="284"/>
      <c r="E250" s="204"/>
      <c r="F250" s="204"/>
      <c r="G250" s="204"/>
      <c r="H250" s="204"/>
      <c r="I250" s="204"/>
      <c r="J250" s="204"/>
      <c r="K250" s="287"/>
      <c r="L250" s="287"/>
      <c r="M250" s="287"/>
      <c r="N250" s="287"/>
    </row>
    <row r="251" spans="1:14" ht="12.75">
      <c r="A251" s="284"/>
      <c r="B251" s="284"/>
      <c r="C251" s="284"/>
      <c r="D251" s="284"/>
      <c r="E251" s="204"/>
      <c r="F251" s="204"/>
      <c r="G251" s="204"/>
      <c r="H251" s="204"/>
      <c r="I251" s="204"/>
      <c r="J251" s="204"/>
      <c r="K251" s="287"/>
      <c r="L251" s="287"/>
      <c r="M251" s="287"/>
      <c r="N251" s="287"/>
    </row>
    <row r="252" spans="1:14" ht="12.75">
      <c r="A252" s="284"/>
      <c r="B252" s="284"/>
      <c r="C252" s="284"/>
      <c r="D252" s="284"/>
      <c r="E252" s="204"/>
      <c r="F252" s="204"/>
      <c r="G252" s="204"/>
      <c r="H252" s="204"/>
      <c r="I252" s="204"/>
      <c r="J252" s="204"/>
      <c r="K252" s="287"/>
      <c r="L252" s="287"/>
      <c r="M252" s="287"/>
      <c r="N252" s="287"/>
    </row>
    <row r="253" spans="1:14" ht="12.75">
      <c r="A253" s="284"/>
      <c r="B253" s="284"/>
      <c r="C253" s="284"/>
      <c r="D253" s="284"/>
      <c r="E253" s="204"/>
      <c r="F253" s="204"/>
      <c r="G253" s="204"/>
      <c r="H253" s="204"/>
      <c r="I253" s="204"/>
      <c r="J253" s="204"/>
      <c r="K253" s="287"/>
      <c r="L253" s="287"/>
      <c r="M253" s="287"/>
      <c r="N253" s="287"/>
    </row>
    <row r="254" spans="1:14" ht="12.75">
      <c r="A254" s="284"/>
      <c r="B254" s="284"/>
      <c r="C254" s="284"/>
      <c r="D254" s="284"/>
      <c r="E254" s="204"/>
      <c r="F254" s="204"/>
      <c r="G254" s="204"/>
      <c r="H254" s="204"/>
      <c r="I254" s="204"/>
      <c r="J254" s="204"/>
      <c r="K254" s="287"/>
      <c r="L254" s="287"/>
      <c r="M254" s="287"/>
      <c r="N254" s="287"/>
    </row>
    <row r="255" spans="1:14" ht="12.75">
      <c r="A255" s="284"/>
      <c r="B255" s="284"/>
      <c r="C255" s="284"/>
      <c r="D255" s="284"/>
      <c r="E255" s="204"/>
      <c r="F255" s="204"/>
      <c r="G255" s="204"/>
      <c r="H255" s="204"/>
      <c r="I255" s="204"/>
      <c r="J255" s="204"/>
      <c r="K255" s="287"/>
      <c r="L255" s="287"/>
      <c r="M255" s="287"/>
      <c r="N255" s="287"/>
    </row>
    <row r="256" spans="1:14" ht="12.75">
      <c r="A256" s="284"/>
      <c r="B256" s="284"/>
      <c r="C256" s="284"/>
      <c r="D256" s="284"/>
      <c r="E256" s="204"/>
      <c r="F256" s="204"/>
      <c r="G256" s="204"/>
      <c r="H256" s="204"/>
      <c r="I256" s="204"/>
      <c r="J256" s="204"/>
      <c r="K256" s="287"/>
      <c r="L256" s="287"/>
      <c r="M256" s="287"/>
      <c r="N256" s="287"/>
    </row>
    <row r="257" spans="1:14" ht="12.75">
      <c r="A257" s="284"/>
      <c r="B257" s="284"/>
      <c r="C257" s="284"/>
      <c r="D257" s="284"/>
      <c r="E257" s="204"/>
      <c r="F257" s="204"/>
      <c r="G257" s="204"/>
      <c r="H257" s="204"/>
      <c r="I257" s="204"/>
      <c r="J257" s="204"/>
      <c r="K257" s="287"/>
      <c r="L257" s="287"/>
      <c r="M257" s="287"/>
      <c r="N257" s="287"/>
    </row>
    <row r="258" spans="1:14" ht="12.75">
      <c r="A258" s="284"/>
      <c r="B258" s="284"/>
      <c r="C258" s="284"/>
      <c r="D258" s="284"/>
      <c r="E258" s="204"/>
      <c r="F258" s="204"/>
      <c r="G258" s="204"/>
      <c r="H258" s="204"/>
      <c r="I258" s="204"/>
      <c r="J258" s="204"/>
      <c r="K258" s="287"/>
      <c r="L258" s="287"/>
      <c r="M258" s="287"/>
      <c r="N258" s="287"/>
    </row>
    <row r="259" spans="1:14" ht="12.75">
      <c r="A259" s="284"/>
      <c r="B259" s="284"/>
      <c r="C259" s="284"/>
      <c r="D259" s="284"/>
      <c r="E259" s="204"/>
      <c r="F259" s="204"/>
      <c r="G259" s="204"/>
      <c r="H259" s="204"/>
      <c r="I259" s="204"/>
      <c r="J259" s="204"/>
      <c r="K259" s="287"/>
      <c r="L259" s="287"/>
      <c r="M259" s="287"/>
      <c r="N259" s="287"/>
    </row>
    <row r="260" spans="1:14" ht="12.75">
      <c r="A260" s="284"/>
      <c r="B260" s="284"/>
      <c r="C260" s="284"/>
      <c r="D260" s="284"/>
      <c r="E260" s="204"/>
      <c r="F260" s="204"/>
      <c r="G260" s="204"/>
      <c r="H260" s="204"/>
      <c r="I260" s="204"/>
      <c r="J260" s="204"/>
      <c r="K260" s="287"/>
      <c r="L260" s="287"/>
      <c r="M260" s="287"/>
      <c r="N260" s="287"/>
    </row>
    <row r="261" spans="1:14" ht="12.75">
      <c r="A261" s="284"/>
      <c r="B261" s="284"/>
      <c r="C261" s="284"/>
      <c r="D261" s="284"/>
      <c r="E261" s="204"/>
      <c r="F261" s="204"/>
      <c r="G261" s="204"/>
      <c r="H261" s="204"/>
      <c r="I261" s="204"/>
      <c r="J261" s="204"/>
      <c r="K261" s="287"/>
      <c r="L261" s="287"/>
      <c r="M261" s="287"/>
      <c r="N261" s="287"/>
    </row>
    <row r="262" spans="1:14" ht="12.75">
      <c r="A262" s="284"/>
      <c r="B262" s="284"/>
      <c r="C262" s="284"/>
      <c r="D262" s="284"/>
      <c r="E262" s="204"/>
      <c r="F262" s="204"/>
      <c r="G262" s="204"/>
      <c r="H262" s="204"/>
      <c r="I262" s="204"/>
      <c r="J262" s="204"/>
      <c r="K262" s="287"/>
      <c r="L262" s="287"/>
      <c r="M262" s="287"/>
      <c r="N262" s="287"/>
    </row>
    <row r="263" spans="1:14" ht="12.75">
      <c r="A263" s="284"/>
      <c r="B263" s="284"/>
      <c r="C263" s="284"/>
      <c r="D263" s="284"/>
      <c r="E263" s="204"/>
      <c r="F263" s="204"/>
      <c r="G263" s="204"/>
      <c r="H263" s="204"/>
      <c r="I263" s="204"/>
      <c r="J263" s="204"/>
      <c r="K263" s="287"/>
      <c r="L263" s="287"/>
      <c r="M263" s="287"/>
      <c r="N263" s="287"/>
    </row>
    <row r="264" spans="1:14" ht="12.75">
      <c r="A264" s="284"/>
      <c r="B264" s="284"/>
      <c r="C264" s="284"/>
      <c r="D264" s="284"/>
      <c r="E264" s="204"/>
      <c r="F264" s="204"/>
      <c r="G264" s="204"/>
      <c r="H264" s="204"/>
      <c r="I264" s="204"/>
      <c r="J264" s="204"/>
      <c r="K264" s="287"/>
      <c r="L264" s="287"/>
      <c r="M264" s="287"/>
      <c r="N264" s="287"/>
    </row>
    <row r="265" spans="1:14" ht="12.75">
      <c r="A265" s="284"/>
      <c r="B265" s="284"/>
      <c r="C265" s="284"/>
      <c r="D265" s="284"/>
      <c r="E265" s="204"/>
      <c r="F265" s="204"/>
      <c r="G265" s="204"/>
      <c r="H265" s="204"/>
      <c r="I265" s="204"/>
      <c r="J265" s="204"/>
      <c r="K265" s="287"/>
      <c r="L265" s="287"/>
      <c r="M265" s="287"/>
      <c r="N265" s="287"/>
    </row>
    <row r="266" spans="1:14" ht="12.75">
      <c r="A266" s="284"/>
      <c r="B266" s="284"/>
      <c r="C266" s="284"/>
      <c r="D266" s="284"/>
      <c r="E266" s="204"/>
      <c r="F266" s="204"/>
      <c r="G266" s="204"/>
      <c r="H266" s="204"/>
      <c r="I266" s="204"/>
      <c r="J266" s="204"/>
      <c r="K266" s="287"/>
      <c r="L266" s="287"/>
      <c r="M266" s="287"/>
      <c r="N266" s="287"/>
    </row>
    <row r="267" spans="1:14" ht="12.75">
      <c r="A267" s="284"/>
      <c r="B267" s="284"/>
      <c r="C267" s="284"/>
      <c r="D267" s="284"/>
      <c r="E267" s="204"/>
      <c r="F267" s="204"/>
      <c r="G267" s="204"/>
      <c r="H267" s="204"/>
      <c r="I267" s="204"/>
      <c r="J267" s="204"/>
      <c r="K267" s="287"/>
      <c r="L267" s="287"/>
      <c r="M267" s="287"/>
      <c r="N267" s="287"/>
    </row>
    <row r="268" spans="1:14" ht="12.75">
      <c r="A268" s="284"/>
      <c r="B268" s="284"/>
      <c r="C268" s="284"/>
      <c r="D268" s="284"/>
      <c r="E268" s="204"/>
      <c r="F268" s="204"/>
      <c r="G268" s="204"/>
      <c r="H268" s="204"/>
      <c r="I268" s="204"/>
      <c r="J268" s="204"/>
      <c r="K268" s="287"/>
      <c r="L268" s="287"/>
      <c r="M268" s="287"/>
      <c r="N268" s="287"/>
    </row>
    <row r="269" spans="1:14" ht="12.75">
      <c r="A269" s="284"/>
      <c r="B269" s="284"/>
      <c r="C269" s="284"/>
      <c r="D269" s="284"/>
      <c r="E269" s="204"/>
      <c r="F269" s="204"/>
      <c r="G269" s="204"/>
      <c r="H269" s="204"/>
      <c r="I269" s="204"/>
      <c r="J269" s="204"/>
      <c r="K269" s="287"/>
      <c r="L269" s="287"/>
      <c r="M269" s="287"/>
      <c r="N269" s="287"/>
    </row>
    <row r="270" spans="1:14" ht="12.75">
      <c r="A270" s="284"/>
      <c r="B270" s="284"/>
      <c r="C270" s="284"/>
      <c r="D270" s="284"/>
      <c r="E270" s="204"/>
      <c r="F270" s="204"/>
      <c r="G270" s="204"/>
      <c r="H270" s="204"/>
      <c r="I270" s="204"/>
      <c r="J270" s="204"/>
      <c r="K270" s="287"/>
      <c r="L270" s="287"/>
      <c r="M270" s="287"/>
      <c r="N270" s="287"/>
    </row>
    <row r="271" spans="1:14" ht="12.75">
      <c r="A271" s="284"/>
      <c r="B271" s="284"/>
      <c r="C271" s="284"/>
      <c r="D271" s="284"/>
      <c r="E271" s="204"/>
      <c r="F271" s="204"/>
      <c r="G271" s="204"/>
      <c r="H271" s="204"/>
      <c r="I271" s="204"/>
      <c r="J271" s="204"/>
      <c r="K271" s="287"/>
      <c r="L271" s="287"/>
      <c r="M271" s="287"/>
      <c r="N271" s="287"/>
    </row>
    <row r="272" spans="1:14" ht="12.75">
      <c r="A272" s="284"/>
      <c r="B272" s="284"/>
      <c r="C272" s="284"/>
      <c r="D272" s="284"/>
      <c r="E272" s="204"/>
      <c r="F272" s="204"/>
      <c r="G272" s="204"/>
      <c r="H272" s="204"/>
      <c r="I272" s="204"/>
      <c r="J272" s="204"/>
      <c r="K272" s="287"/>
      <c r="L272" s="287"/>
      <c r="M272" s="287"/>
      <c r="N272" s="287"/>
    </row>
    <row r="273" spans="1:14" ht="12.75">
      <c r="A273" s="284"/>
      <c r="B273" s="284"/>
      <c r="C273" s="284"/>
      <c r="D273" s="284"/>
      <c r="E273" s="204"/>
      <c r="F273" s="204"/>
      <c r="G273" s="204"/>
      <c r="H273" s="204"/>
      <c r="I273" s="204"/>
      <c r="J273" s="204"/>
      <c r="K273" s="287"/>
      <c r="L273" s="287"/>
      <c r="M273" s="287"/>
      <c r="N273" s="287"/>
    </row>
    <row r="274" spans="1:14" ht="12.75">
      <c r="A274" s="284"/>
      <c r="B274" s="284"/>
      <c r="C274" s="284"/>
      <c r="D274" s="284"/>
      <c r="E274" s="204"/>
      <c r="F274" s="204"/>
      <c r="G274" s="204"/>
      <c r="H274" s="204"/>
      <c r="I274" s="204"/>
      <c r="J274" s="204"/>
      <c r="K274" s="287"/>
      <c r="L274" s="287"/>
      <c r="M274" s="287"/>
      <c r="N274" s="287"/>
    </row>
    <row r="275" spans="1:14" ht="12.75">
      <c r="A275" s="284"/>
      <c r="B275" s="284"/>
      <c r="C275" s="284"/>
      <c r="D275" s="284"/>
      <c r="E275" s="204"/>
      <c r="F275" s="204"/>
      <c r="G275" s="204"/>
      <c r="H275" s="204"/>
      <c r="I275" s="204"/>
      <c r="J275" s="204"/>
      <c r="K275" s="287"/>
      <c r="L275" s="287"/>
      <c r="M275" s="287"/>
      <c r="N275" s="287"/>
    </row>
    <row r="276" spans="1:14" ht="12.75">
      <c r="A276" s="284"/>
      <c r="B276" s="284"/>
      <c r="C276" s="284"/>
      <c r="D276" s="284"/>
      <c r="E276" s="204"/>
      <c r="F276" s="204"/>
      <c r="G276" s="204"/>
      <c r="H276" s="204"/>
      <c r="I276" s="204"/>
      <c r="J276" s="204"/>
      <c r="K276" s="287"/>
      <c r="L276" s="287"/>
      <c r="M276" s="287"/>
      <c r="N276" s="287"/>
    </row>
    <row r="277" spans="1:14" ht="12.75">
      <c r="A277" s="284"/>
      <c r="B277" s="284"/>
      <c r="C277" s="284"/>
      <c r="D277" s="284"/>
      <c r="E277" s="204"/>
      <c r="F277" s="204"/>
      <c r="G277" s="204"/>
      <c r="H277" s="204"/>
      <c r="I277" s="204"/>
      <c r="J277" s="204"/>
      <c r="K277" s="287"/>
      <c r="L277" s="287"/>
      <c r="M277" s="287"/>
      <c r="N277" s="287"/>
    </row>
    <row r="278" spans="1:14" ht="12.75">
      <c r="A278" s="284"/>
      <c r="B278" s="284"/>
      <c r="C278" s="284"/>
      <c r="D278" s="284"/>
      <c r="E278" s="204"/>
      <c r="F278" s="204"/>
      <c r="G278" s="204"/>
      <c r="H278" s="204"/>
      <c r="I278" s="204"/>
      <c r="J278" s="204"/>
      <c r="K278" s="287"/>
      <c r="L278" s="287"/>
      <c r="M278" s="287"/>
      <c r="N278" s="287"/>
    </row>
    <row r="279" spans="1:14" ht="12.75">
      <c r="A279" s="284"/>
      <c r="B279" s="284"/>
      <c r="C279" s="284"/>
      <c r="D279" s="284"/>
      <c r="E279" s="204"/>
      <c r="F279" s="204"/>
      <c r="G279" s="204"/>
      <c r="H279" s="204"/>
      <c r="I279" s="204"/>
      <c r="J279" s="204"/>
      <c r="K279" s="287"/>
      <c r="L279" s="287"/>
      <c r="M279" s="287"/>
      <c r="N279" s="287"/>
    </row>
    <row r="280" spans="1:14" ht="12.75">
      <c r="A280" s="284"/>
      <c r="B280" s="284"/>
      <c r="C280" s="284"/>
      <c r="D280" s="284"/>
      <c r="E280" s="204"/>
      <c r="F280" s="204"/>
      <c r="G280" s="204"/>
      <c r="H280" s="204"/>
      <c r="I280" s="204"/>
      <c r="J280" s="204"/>
      <c r="K280" s="287"/>
      <c r="L280" s="287"/>
      <c r="M280" s="287"/>
      <c r="N280" s="287"/>
    </row>
    <row r="281" spans="1:14" ht="12.75">
      <c r="A281" s="284"/>
      <c r="B281" s="284"/>
      <c r="C281" s="284"/>
      <c r="D281" s="284"/>
      <c r="E281" s="204"/>
      <c r="F281" s="204"/>
      <c r="G281" s="204"/>
      <c r="H281" s="204"/>
      <c r="I281" s="204"/>
      <c r="J281" s="204"/>
      <c r="K281" s="287"/>
      <c r="L281" s="287"/>
      <c r="M281" s="287"/>
      <c r="N281" s="287"/>
    </row>
    <row r="282" spans="1:14" ht="12.75">
      <c r="A282" s="284"/>
      <c r="B282" s="284"/>
      <c r="C282" s="284"/>
      <c r="D282" s="284"/>
      <c r="E282" s="204"/>
      <c r="F282" s="204"/>
      <c r="G282" s="204"/>
      <c r="H282" s="204"/>
      <c r="I282" s="204"/>
      <c r="J282" s="204"/>
      <c r="K282" s="287"/>
      <c r="L282" s="287"/>
      <c r="M282" s="287"/>
      <c r="N282" s="287"/>
    </row>
    <row r="283" spans="1:14" ht="12.75">
      <c r="A283" s="284"/>
      <c r="B283" s="284"/>
      <c r="C283" s="284"/>
      <c r="D283" s="284"/>
      <c r="E283" s="204"/>
      <c r="F283" s="204"/>
      <c r="G283" s="204"/>
      <c r="H283" s="204"/>
      <c r="I283" s="204"/>
      <c r="J283" s="204"/>
      <c r="K283" s="287"/>
      <c r="L283" s="287"/>
      <c r="M283" s="287"/>
      <c r="N283" s="287"/>
    </row>
    <row r="284" spans="1:14" ht="12.75">
      <c r="A284" s="284"/>
      <c r="B284" s="284"/>
      <c r="C284" s="284"/>
      <c r="D284" s="284"/>
      <c r="E284" s="204"/>
      <c r="F284" s="204"/>
      <c r="G284" s="204"/>
      <c r="H284" s="204"/>
      <c r="I284" s="204"/>
      <c r="J284" s="204"/>
      <c r="K284" s="287"/>
      <c r="L284" s="287"/>
      <c r="M284" s="287"/>
      <c r="N284" s="287"/>
    </row>
    <row r="285" spans="1:14" ht="12.75">
      <c r="A285" s="284"/>
      <c r="B285" s="284"/>
      <c r="C285" s="284"/>
      <c r="D285" s="284"/>
      <c r="E285" s="204"/>
      <c r="F285" s="204"/>
      <c r="G285" s="204"/>
      <c r="H285" s="204"/>
      <c r="I285" s="204"/>
      <c r="J285" s="204"/>
      <c r="K285" s="287"/>
      <c r="L285" s="287"/>
      <c r="M285" s="287"/>
      <c r="N285" s="287"/>
    </row>
    <row r="286" spans="1:14" ht="12.75">
      <c r="A286" s="284"/>
      <c r="B286" s="284"/>
      <c r="C286" s="284"/>
      <c r="D286" s="284"/>
      <c r="E286" s="204"/>
      <c r="F286" s="204"/>
      <c r="G286" s="204"/>
      <c r="H286" s="204"/>
      <c r="I286" s="204"/>
      <c r="J286" s="204"/>
      <c r="K286" s="287"/>
      <c r="L286" s="287"/>
      <c r="M286" s="287"/>
      <c r="N286" s="287"/>
    </row>
    <row r="287" spans="1:14" ht="12.75">
      <c r="A287" s="284"/>
      <c r="B287" s="284"/>
      <c r="C287" s="284"/>
      <c r="D287" s="284"/>
      <c r="E287" s="204"/>
      <c r="F287" s="204"/>
      <c r="G287" s="204"/>
      <c r="H287" s="204"/>
      <c r="I287" s="204"/>
      <c r="J287" s="204"/>
      <c r="K287" s="287"/>
      <c r="L287" s="287"/>
      <c r="M287" s="287"/>
      <c r="N287" s="287"/>
    </row>
    <row r="288" spans="1:14" ht="12.75">
      <c r="A288" s="284"/>
      <c r="B288" s="284"/>
      <c r="C288" s="284"/>
      <c r="D288" s="284"/>
      <c r="E288" s="204"/>
      <c r="F288" s="204"/>
      <c r="G288" s="204"/>
      <c r="H288" s="204"/>
      <c r="I288" s="204"/>
      <c r="J288" s="204"/>
      <c r="K288" s="287"/>
      <c r="L288" s="287"/>
      <c r="M288" s="287"/>
      <c r="N288" s="287"/>
    </row>
    <row r="289" spans="1:14" ht="12.75">
      <c r="A289" s="284"/>
      <c r="B289" s="284"/>
      <c r="C289" s="284"/>
      <c r="D289" s="284"/>
      <c r="E289" s="204"/>
      <c r="F289" s="204"/>
      <c r="G289" s="204"/>
      <c r="H289" s="204"/>
      <c r="I289" s="204"/>
      <c r="J289" s="204"/>
      <c r="K289" s="287"/>
      <c r="L289" s="287"/>
      <c r="M289" s="287"/>
      <c r="N289" s="287"/>
    </row>
    <row r="290" spans="1:14" ht="12.75">
      <c r="A290" s="284"/>
      <c r="B290" s="284"/>
      <c r="C290" s="284"/>
      <c r="D290" s="284"/>
      <c r="E290" s="204"/>
      <c r="F290" s="204"/>
      <c r="G290" s="204"/>
      <c r="H290" s="204"/>
      <c r="I290" s="204"/>
      <c r="J290" s="204"/>
      <c r="K290" s="287"/>
      <c r="L290" s="287"/>
      <c r="M290" s="287"/>
      <c r="N290" s="287"/>
    </row>
    <row r="291" spans="1:14" ht="12.75">
      <c r="A291" s="284"/>
      <c r="B291" s="284"/>
      <c r="C291" s="284"/>
      <c r="D291" s="284"/>
      <c r="E291" s="204"/>
      <c r="F291" s="204"/>
      <c r="G291" s="204"/>
      <c r="H291" s="204"/>
      <c r="I291" s="204"/>
      <c r="J291" s="204"/>
      <c r="K291" s="287"/>
      <c r="L291" s="287"/>
      <c r="M291" s="287"/>
      <c r="N291" s="287"/>
    </row>
    <row r="292" spans="1:14" ht="12.75">
      <c r="A292" s="284"/>
      <c r="B292" s="284"/>
      <c r="C292" s="284"/>
      <c r="D292" s="284"/>
      <c r="E292" s="204"/>
      <c r="F292" s="204"/>
      <c r="G292" s="204"/>
      <c r="H292" s="204"/>
      <c r="I292" s="204"/>
      <c r="J292" s="204"/>
      <c r="K292" s="287"/>
      <c r="L292" s="287"/>
      <c r="M292" s="287"/>
      <c r="N292" s="287"/>
    </row>
    <row r="293" spans="1:14" ht="12.75">
      <c r="A293" s="284"/>
      <c r="B293" s="284"/>
      <c r="C293" s="284"/>
      <c r="D293" s="284"/>
      <c r="E293" s="204"/>
      <c r="F293" s="204"/>
      <c r="G293" s="204"/>
      <c r="H293" s="204"/>
      <c r="I293" s="204"/>
      <c r="J293" s="204"/>
      <c r="K293" s="287"/>
      <c r="L293" s="287"/>
      <c r="M293" s="287"/>
      <c r="N293" s="287"/>
    </row>
    <row r="294" spans="1:14" ht="12.75">
      <c r="A294" s="284"/>
      <c r="B294" s="284"/>
      <c r="C294" s="284"/>
      <c r="D294" s="284"/>
      <c r="E294" s="204"/>
      <c r="F294" s="204"/>
      <c r="G294" s="204"/>
      <c r="H294" s="204"/>
      <c r="I294" s="204"/>
      <c r="J294" s="204"/>
      <c r="K294" s="287"/>
      <c r="L294" s="287"/>
      <c r="M294" s="287"/>
      <c r="N294" s="287"/>
    </row>
    <row r="295" spans="1:14" ht="12.75">
      <c r="A295" s="284"/>
      <c r="B295" s="284"/>
      <c r="C295" s="284"/>
      <c r="D295" s="284"/>
      <c r="E295" s="204"/>
      <c r="F295" s="204"/>
      <c r="G295" s="204"/>
      <c r="H295" s="204"/>
      <c r="I295" s="204"/>
      <c r="J295" s="204"/>
      <c r="K295" s="287"/>
      <c r="L295" s="287"/>
      <c r="M295" s="287"/>
      <c r="N295" s="287"/>
    </row>
    <row r="296" spans="1:14" ht="12.75">
      <c r="A296" s="284"/>
      <c r="B296" s="284"/>
      <c r="C296" s="284"/>
      <c r="D296" s="284"/>
      <c r="E296" s="204"/>
      <c r="F296" s="204"/>
      <c r="G296" s="204"/>
      <c r="H296" s="204"/>
      <c r="I296" s="204"/>
      <c r="J296" s="204"/>
      <c r="K296" s="287"/>
      <c r="L296" s="287"/>
      <c r="M296" s="287"/>
      <c r="N296" s="287"/>
    </row>
    <row r="297" spans="1:14" ht="12.75">
      <c r="A297" s="284"/>
      <c r="B297" s="284"/>
      <c r="C297" s="284"/>
      <c r="D297" s="284"/>
      <c r="E297" s="204"/>
      <c r="F297" s="204"/>
      <c r="G297" s="204"/>
      <c r="H297" s="204"/>
      <c r="I297" s="204"/>
      <c r="J297" s="204"/>
      <c r="K297" s="287"/>
      <c r="L297" s="287"/>
      <c r="M297" s="287"/>
      <c r="N297" s="287"/>
    </row>
    <row r="298" spans="1:14" ht="12.75">
      <c r="A298" s="284"/>
      <c r="B298" s="284"/>
      <c r="C298" s="284"/>
      <c r="D298" s="284"/>
      <c r="E298" s="204"/>
      <c r="F298" s="204"/>
      <c r="G298" s="204"/>
      <c r="H298" s="204"/>
      <c r="I298" s="204"/>
      <c r="J298" s="204"/>
      <c r="K298" s="287"/>
      <c r="L298" s="287"/>
      <c r="M298" s="287"/>
      <c r="N298" s="287"/>
    </row>
    <row r="299" spans="1:14" ht="12.75">
      <c r="A299" s="284"/>
      <c r="B299" s="284"/>
      <c r="C299" s="284"/>
      <c r="D299" s="284"/>
      <c r="E299" s="204"/>
      <c r="F299" s="204"/>
      <c r="G299" s="204"/>
      <c r="H299" s="204"/>
      <c r="I299" s="204"/>
      <c r="J299" s="204"/>
      <c r="K299" s="287"/>
      <c r="L299" s="287"/>
      <c r="M299" s="287"/>
      <c r="N299" s="287"/>
    </row>
    <row r="300" spans="1:14" ht="12.75">
      <c r="A300" s="284"/>
      <c r="B300" s="284"/>
      <c r="C300" s="284"/>
      <c r="D300" s="284"/>
      <c r="E300" s="204"/>
      <c r="F300" s="204"/>
      <c r="G300" s="204"/>
      <c r="H300" s="204"/>
      <c r="I300" s="204"/>
      <c r="J300" s="204"/>
      <c r="K300" s="287"/>
      <c r="L300" s="287"/>
      <c r="M300" s="287"/>
      <c r="N300" s="287"/>
    </row>
    <row r="301" spans="1:14" ht="12.75">
      <c r="A301" s="284"/>
      <c r="B301" s="284"/>
      <c r="C301" s="284"/>
      <c r="D301" s="284"/>
      <c r="E301" s="204"/>
      <c r="F301" s="204"/>
      <c r="G301" s="204"/>
      <c r="H301" s="204"/>
      <c r="I301" s="204"/>
      <c r="J301" s="204"/>
      <c r="K301" s="287"/>
      <c r="L301" s="287"/>
      <c r="M301" s="287"/>
      <c r="N301" s="287"/>
    </row>
    <row r="302" spans="1:14" ht="12.75">
      <c r="A302" s="284"/>
      <c r="B302" s="284"/>
      <c r="C302" s="284"/>
      <c r="D302" s="284"/>
      <c r="E302" s="204"/>
      <c r="F302" s="204"/>
      <c r="G302" s="204"/>
      <c r="H302" s="204"/>
      <c r="I302" s="204"/>
      <c r="J302" s="204"/>
      <c r="K302" s="287"/>
      <c r="L302" s="287"/>
      <c r="M302" s="287"/>
      <c r="N302" s="287"/>
    </row>
    <row r="303" spans="1:14" ht="12.75">
      <c r="A303" s="284"/>
      <c r="B303" s="284"/>
      <c r="C303" s="284"/>
      <c r="D303" s="284"/>
      <c r="E303" s="204"/>
      <c r="F303" s="204"/>
      <c r="G303" s="204"/>
      <c r="H303" s="204"/>
      <c r="I303" s="204"/>
      <c r="J303" s="204"/>
      <c r="K303" s="287"/>
      <c r="L303" s="287"/>
      <c r="M303" s="287"/>
      <c r="N303" s="287"/>
    </row>
    <row r="304" spans="1:14" ht="12.75">
      <c r="A304" s="284"/>
      <c r="B304" s="284"/>
      <c r="C304" s="284"/>
      <c r="D304" s="284"/>
      <c r="E304" s="204"/>
      <c r="F304" s="204"/>
      <c r="G304" s="204"/>
      <c r="H304" s="204"/>
      <c r="I304" s="204"/>
      <c r="J304" s="204"/>
      <c r="K304" s="287"/>
      <c r="L304" s="287"/>
      <c r="M304" s="287"/>
      <c r="N304" s="287"/>
    </row>
    <row r="305" spans="1:14" ht="12.75">
      <c r="A305" s="284"/>
      <c r="B305" s="284"/>
      <c r="C305" s="284"/>
      <c r="D305" s="284"/>
      <c r="E305" s="204"/>
      <c r="F305" s="204"/>
      <c r="G305" s="204"/>
      <c r="H305" s="204"/>
      <c r="I305" s="204"/>
      <c r="J305" s="204"/>
      <c r="K305" s="287"/>
      <c r="L305" s="287"/>
      <c r="M305" s="287"/>
      <c r="N305" s="287"/>
    </row>
    <row r="306" spans="1:14" ht="12.75">
      <c r="A306" s="284"/>
      <c r="B306" s="284"/>
      <c r="C306" s="284"/>
      <c r="D306" s="284"/>
      <c r="E306" s="204"/>
      <c r="F306" s="204"/>
      <c r="G306" s="204"/>
      <c r="H306" s="204"/>
      <c r="I306" s="204"/>
      <c r="J306" s="204"/>
      <c r="K306" s="287"/>
      <c r="L306" s="287"/>
      <c r="M306" s="287"/>
      <c r="N306" s="287"/>
    </row>
    <row r="307" spans="1:14" ht="12.75">
      <c r="A307" s="284"/>
      <c r="B307" s="284"/>
      <c r="C307" s="284"/>
      <c r="D307" s="284"/>
      <c r="E307" s="204"/>
      <c r="F307" s="204"/>
      <c r="G307" s="204"/>
      <c r="H307" s="204"/>
      <c r="I307" s="204"/>
      <c r="J307" s="204"/>
      <c r="K307" s="287"/>
      <c r="L307" s="287"/>
      <c r="M307" s="287"/>
      <c r="N307" s="287"/>
    </row>
    <row r="308" spans="1:14" ht="12.75">
      <c r="A308" s="284"/>
      <c r="B308" s="284"/>
      <c r="C308" s="284"/>
      <c r="D308" s="284"/>
      <c r="E308" s="204"/>
      <c r="F308" s="204"/>
      <c r="G308" s="204"/>
      <c r="H308" s="204"/>
      <c r="I308" s="204"/>
      <c r="J308" s="204"/>
      <c r="K308" s="287"/>
      <c r="L308" s="287"/>
      <c r="M308" s="287"/>
      <c r="N308" s="287"/>
    </row>
    <row r="309" spans="1:14" ht="12.75">
      <c r="A309" s="284"/>
      <c r="B309" s="284"/>
      <c r="C309" s="284"/>
      <c r="D309" s="284"/>
      <c r="E309" s="204"/>
      <c r="F309" s="204"/>
      <c r="G309" s="204"/>
      <c r="H309" s="204"/>
      <c r="I309" s="204"/>
      <c r="J309" s="204"/>
      <c r="K309" s="287"/>
      <c r="L309" s="287"/>
      <c r="M309" s="287"/>
      <c r="N309" s="287"/>
    </row>
    <row r="310" spans="1:14" ht="12.75">
      <c r="A310" s="284"/>
      <c r="B310" s="284"/>
      <c r="C310" s="284"/>
      <c r="D310" s="284"/>
      <c r="E310" s="204"/>
      <c r="F310" s="204"/>
      <c r="G310" s="204"/>
      <c r="H310" s="204"/>
      <c r="I310" s="204"/>
      <c r="J310" s="204"/>
      <c r="K310" s="287"/>
      <c r="L310" s="287"/>
      <c r="M310" s="287"/>
      <c r="N310" s="287"/>
    </row>
    <row r="311" spans="1:14" ht="12.75">
      <c r="A311" s="284"/>
      <c r="B311" s="284"/>
      <c r="C311" s="284"/>
      <c r="D311" s="284"/>
      <c r="E311" s="204"/>
      <c r="F311" s="204"/>
      <c r="G311" s="204"/>
      <c r="H311" s="204"/>
      <c r="I311" s="204"/>
      <c r="J311" s="204"/>
      <c r="K311" s="287"/>
      <c r="L311" s="287"/>
      <c r="M311" s="287"/>
      <c r="N311" s="287"/>
    </row>
    <row r="312" spans="1:14" ht="12.75">
      <c r="A312" s="284"/>
      <c r="B312" s="284"/>
      <c r="C312" s="284"/>
      <c r="D312" s="284"/>
      <c r="E312" s="204"/>
      <c r="F312" s="204"/>
      <c r="G312" s="204"/>
      <c r="H312" s="204"/>
      <c r="I312" s="204"/>
      <c r="J312" s="204"/>
      <c r="K312" s="287"/>
      <c r="L312" s="287"/>
      <c r="M312" s="287"/>
      <c r="N312" s="287"/>
    </row>
    <row r="313" spans="1:14" ht="12.75">
      <c r="A313" s="284"/>
      <c r="B313" s="284"/>
      <c r="C313" s="284"/>
      <c r="D313" s="284"/>
      <c r="E313" s="204"/>
      <c r="F313" s="204"/>
      <c r="G313" s="204"/>
      <c r="H313" s="204"/>
      <c r="I313" s="204"/>
      <c r="J313" s="204"/>
      <c r="K313" s="287"/>
      <c r="L313" s="287"/>
      <c r="M313" s="287"/>
      <c r="N313" s="287"/>
    </row>
    <row r="314" spans="1:14" ht="12.75">
      <c r="A314" s="284"/>
      <c r="B314" s="284"/>
      <c r="C314" s="284"/>
      <c r="D314" s="284"/>
      <c r="E314" s="204"/>
      <c r="F314" s="204"/>
      <c r="G314" s="204"/>
      <c r="H314" s="204"/>
      <c r="I314" s="204"/>
      <c r="J314" s="204"/>
      <c r="K314" s="287"/>
      <c r="L314" s="287"/>
      <c r="M314" s="287"/>
      <c r="N314" s="287"/>
    </row>
    <row r="315" spans="1:14" ht="12.75">
      <c r="A315" s="284"/>
      <c r="B315" s="284"/>
      <c r="C315" s="284"/>
      <c r="D315" s="284"/>
      <c r="E315" s="204"/>
      <c r="F315" s="204"/>
      <c r="G315" s="204"/>
      <c r="H315" s="204"/>
      <c r="I315" s="204"/>
      <c r="J315" s="204"/>
      <c r="K315" s="287"/>
      <c r="L315" s="287"/>
      <c r="M315" s="287"/>
      <c r="N315" s="287"/>
    </row>
    <row r="316" spans="1:14" ht="12.75">
      <c r="A316" s="284"/>
      <c r="B316" s="284"/>
      <c r="C316" s="284"/>
      <c r="D316" s="284"/>
      <c r="E316" s="204"/>
      <c r="F316" s="204"/>
      <c r="G316" s="204"/>
      <c r="H316" s="204"/>
      <c r="I316" s="204"/>
      <c r="J316" s="204"/>
      <c r="K316" s="287"/>
      <c r="L316" s="287"/>
      <c r="M316" s="287"/>
      <c r="N316" s="287"/>
    </row>
    <row r="317" spans="1:14" ht="12.75">
      <c r="A317" s="284"/>
      <c r="B317" s="284"/>
      <c r="C317" s="284"/>
      <c r="D317" s="284"/>
      <c r="E317" s="204"/>
      <c r="F317" s="204"/>
      <c r="G317" s="204"/>
      <c r="H317" s="204"/>
      <c r="I317" s="204"/>
      <c r="J317" s="204"/>
      <c r="K317" s="287"/>
      <c r="L317" s="287"/>
      <c r="M317" s="287"/>
      <c r="N317" s="287"/>
    </row>
    <row r="318" spans="1:14" ht="12.75">
      <c r="A318" s="284"/>
      <c r="B318" s="284"/>
      <c r="C318" s="284"/>
      <c r="D318" s="284"/>
      <c r="E318" s="204"/>
      <c r="F318" s="204"/>
      <c r="G318" s="204"/>
      <c r="H318" s="204"/>
      <c r="I318" s="204"/>
      <c r="J318" s="204"/>
      <c r="K318" s="287"/>
      <c r="L318" s="287"/>
      <c r="M318" s="287"/>
      <c r="N318" s="287"/>
    </row>
    <row r="319" spans="1:14" ht="12.75">
      <c r="A319" s="284"/>
      <c r="B319" s="284"/>
      <c r="C319" s="284"/>
      <c r="D319" s="284"/>
      <c r="E319" s="204"/>
      <c r="F319" s="204"/>
      <c r="G319" s="204"/>
      <c r="H319" s="204"/>
      <c r="I319" s="204"/>
      <c r="J319" s="204"/>
      <c r="K319" s="287"/>
      <c r="L319" s="287"/>
      <c r="M319" s="287"/>
      <c r="N319" s="287"/>
    </row>
    <row r="320" spans="1:14" ht="12.75">
      <c r="A320" s="284"/>
      <c r="B320" s="284"/>
      <c r="C320" s="284"/>
      <c r="D320" s="284"/>
      <c r="E320" s="204"/>
      <c r="F320" s="204"/>
      <c r="G320" s="204"/>
      <c r="H320" s="204"/>
      <c r="I320" s="204"/>
      <c r="J320" s="204"/>
      <c r="K320" s="287"/>
      <c r="L320" s="287"/>
      <c r="M320" s="287"/>
      <c r="N320" s="287"/>
    </row>
    <row r="321" spans="1:14" ht="12.75">
      <c r="A321" s="284"/>
      <c r="B321" s="284"/>
      <c r="C321" s="284"/>
      <c r="D321" s="284"/>
      <c r="E321" s="204"/>
      <c r="F321" s="204"/>
      <c r="G321" s="204"/>
      <c r="H321" s="204"/>
      <c r="I321" s="204"/>
      <c r="J321" s="204"/>
      <c r="K321" s="287"/>
      <c r="L321" s="287"/>
      <c r="M321" s="287"/>
      <c r="N321" s="287"/>
    </row>
    <row r="322" spans="1:14" ht="12.75">
      <c r="A322" s="284"/>
      <c r="B322" s="284"/>
      <c r="C322" s="284"/>
      <c r="D322" s="284"/>
      <c r="E322" s="204"/>
      <c r="F322" s="204"/>
      <c r="G322" s="204"/>
      <c r="H322" s="204"/>
      <c r="I322" s="204"/>
      <c r="J322" s="204"/>
      <c r="K322" s="287"/>
      <c r="L322" s="287"/>
      <c r="M322" s="287"/>
      <c r="N322" s="287"/>
    </row>
    <row r="323" spans="1:14" ht="12.75">
      <c r="A323" s="284"/>
      <c r="B323" s="284"/>
      <c r="C323" s="284"/>
      <c r="D323" s="284"/>
      <c r="E323" s="204"/>
      <c r="F323" s="204"/>
      <c r="G323" s="204"/>
      <c r="H323" s="204"/>
      <c r="I323" s="204"/>
      <c r="J323" s="204"/>
      <c r="K323" s="287"/>
      <c r="L323" s="287"/>
      <c r="M323" s="287"/>
      <c r="N323" s="287"/>
    </row>
    <row r="324" spans="1:14" ht="12.75">
      <c r="A324" s="284"/>
      <c r="B324" s="284"/>
      <c r="C324" s="284"/>
      <c r="D324" s="284"/>
      <c r="E324" s="204"/>
      <c r="F324" s="204"/>
      <c r="G324" s="204"/>
      <c r="H324" s="204"/>
      <c r="I324" s="204"/>
      <c r="J324" s="204"/>
      <c r="K324" s="287"/>
      <c r="L324" s="287"/>
      <c r="M324" s="287"/>
      <c r="N324" s="287"/>
    </row>
    <row r="325" spans="1:14" ht="12.75">
      <c r="A325" s="284"/>
      <c r="B325" s="284"/>
      <c r="C325" s="284"/>
      <c r="D325" s="284"/>
      <c r="E325" s="204"/>
      <c r="F325" s="204"/>
      <c r="G325" s="204"/>
      <c r="H325" s="204"/>
      <c r="I325" s="204"/>
      <c r="J325" s="204"/>
      <c r="K325" s="287"/>
      <c r="L325" s="287"/>
      <c r="M325" s="287"/>
      <c r="N325" s="287"/>
    </row>
    <row r="326" spans="1:14" ht="12.75">
      <c r="A326" s="284"/>
      <c r="B326" s="284"/>
      <c r="C326" s="284"/>
      <c r="D326" s="284"/>
      <c r="E326" s="204"/>
      <c r="F326" s="204"/>
      <c r="G326" s="204"/>
      <c r="H326" s="204"/>
      <c r="I326" s="204"/>
      <c r="J326" s="204"/>
      <c r="K326" s="287"/>
      <c r="L326" s="287"/>
      <c r="M326" s="287"/>
      <c r="N326" s="287"/>
    </row>
    <row r="327" spans="1:14" ht="12.75">
      <c r="A327" s="284"/>
      <c r="B327" s="284"/>
      <c r="C327" s="284"/>
      <c r="D327" s="284"/>
      <c r="E327" s="204"/>
      <c r="F327" s="204"/>
      <c r="G327" s="204"/>
      <c r="H327" s="204"/>
      <c r="I327" s="204"/>
      <c r="J327" s="204"/>
      <c r="K327" s="287"/>
      <c r="L327" s="287"/>
      <c r="M327" s="287"/>
      <c r="N327" s="287"/>
    </row>
    <row r="328" spans="1:14" ht="12.75">
      <c r="A328" s="284"/>
      <c r="B328" s="284"/>
      <c r="C328" s="284"/>
      <c r="D328" s="284"/>
      <c r="E328" s="204"/>
      <c r="F328" s="204"/>
      <c r="G328" s="204"/>
      <c r="H328" s="204"/>
      <c r="I328" s="204"/>
      <c r="J328" s="204"/>
      <c r="K328" s="287"/>
      <c r="L328" s="287"/>
      <c r="M328" s="287"/>
      <c r="N328" s="287"/>
    </row>
    <row r="329" spans="1:14" ht="12.75">
      <c r="A329" s="284"/>
      <c r="B329" s="284"/>
      <c r="C329" s="284"/>
      <c r="D329" s="284"/>
      <c r="E329" s="204"/>
      <c r="F329" s="204"/>
      <c r="G329" s="204"/>
      <c r="H329" s="204"/>
      <c r="I329" s="204"/>
      <c r="J329" s="204"/>
      <c r="K329" s="287"/>
      <c r="L329" s="287"/>
      <c r="M329" s="287"/>
      <c r="N329" s="287"/>
    </row>
    <row r="330" spans="1:14" ht="12.75">
      <c r="A330" s="284"/>
      <c r="B330" s="284"/>
      <c r="C330" s="284"/>
      <c r="D330" s="284"/>
      <c r="E330" s="204"/>
      <c r="F330" s="204"/>
      <c r="G330" s="204"/>
      <c r="H330" s="204"/>
      <c r="I330" s="204"/>
      <c r="J330" s="204"/>
      <c r="K330" s="287"/>
      <c r="L330" s="287"/>
      <c r="M330" s="287"/>
      <c r="N330" s="287"/>
    </row>
    <row r="331" spans="1:14" ht="12.75">
      <c r="A331" s="284"/>
      <c r="B331" s="284"/>
      <c r="C331" s="284"/>
      <c r="D331" s="284"/>
      <c r="E331" s="204"/>
      <c r="F331" s="204"/>
      <c r="G331" s="204"/>
      <c r="H331" s="204"/>
      <c r="I331" s="204"/>
      <c r="J331" s="204"/>
      <c r="K331" s="287"/>
      <c r="L331" s="287"/>
      <c r="M331" s="287"/>
      <c r="N331" s="287"/>
    </row>
    <row r="332" spans="1:14" ht="12.75">
      <c r="A332" s="284"/>
      <c r="B332" s="284"/>
      <c r="C332" s="284"/>
      <c r="D332" s="284"/>
      <c r="E332" s="204"/>
      <c r="F332" s="204"/>
      <c r="G332" s="204"/>
      <c r="H332" s="204"/>
      <c r="I332" s="204"/>
      <c r="J332" s="204"/>
      <c r="K332" s="287"/>
      <c r="L332" s="287"/>
      <c r="M332" s="287"/>
      <c r="N332" s="287"/>
    </row>
    <row r="333" spans="1:14" ht="12.75">
      <c r="A333" s="284"/>
      <c r="B333" s="284"/>
      <c r="C333" s="284"/>
      <c r="D333" s="284"/>
      <c r="E333" s="204"/>
      <c r="F333" s="204"/>
      <c r="G333" s="204"/>
      <c r="H333" s="204"/>
      <c r="I333" s="204"/>
      <c r="J333" s="204"/>
      <c r="K333" s="287"/>
      <c r="L333" s="287"/>
      <c r="M333" s="287"/>
      <c r="N333" s="287"/>
    </row>
    <row r="334" spans="1:14" ht="12.75">
      <c r="A334" s="284"/>
      <c r="B334" s="284"/>
      <c r="C334" s="284"/>
      <c r="D334" s="284"/>
      <c r="E334" s="204"/>
      <c r="F334" s="204"/>
      <c r="G334" s="204"/>
      <c r="H334" s="204"/>
      <c r="I334" s="204"/>
      <c r="J334" s="204"/>
      <c r="K334" s="287"/>
      <c r="L334" s="287"/>
      <c r="M334" s="287"/>
      <c r="N334" s="287"/>
    </row>
    <row r="335" spans="1:14" ht="12.75">
      <c r="A335" s="284"/>
      <c r="B335" s="284"/>
      <c r="C335" s="284"/>
      <c r="D335" s="284"/>
      <c r="E335" s="204"/>
      <c r="F335" s="204"/>
      <c r="G335" s="204"/>
      <c r="H335" s="204"/>
      <c r="I335" s="204"/>
      <c r="J335" s="204"/>
      <c r="K335" s="287"/>
      <c r="L335" s="287"/>
      <c r="M335" s="287"/>
      <c r="N335" s="287"/>
    </row>
    <row r="336" spans="1:14" ht="12.75">
      <c r="A336" s="284"/>
      <c r="B336" s="284"/>
      <c r="C336" s="284"/>
      <c r="D336" s="284"/>
      <c r="E336" s="204"/>
      <c r="F336" s="204"/>
      <c r="G336" s="204"/>
      <c r="H336" s="204"/>
      <c r="I336" s="204"/>
      <c r="J336" s="204"/>
      <c r="K336" s="287"/>
      <c r="L336" s="287"/>
      <c r="M336" s="287"/>
      <c r="N336" s="287"/>
    </row>
    <row r="337" spans="1:14" ht="12.75">
      <c r="A337" s="284"/>
      <c r="B337" s="284"/>
      <c r="C337" s="284"/>
      <c r="D337" s="284"/>
      <c r="E337" s="204"/>
      <c r="F337" s="204"/>
      <c r="G337" s="204"/>
      <c r="H337" s="204"/>
      <c r="I337" s="204"/>
      <c r="J337" s="204"/>
      <c r="K337" s="287"/>
      <c r="L337" s="287"/>
      <c r="M337" s="287"/>
      <c r="N337" s="287"/>
    </row>
    <row r="338" spans="1:14" ht="12.75">
      <c r="A338" s="284"/>
      <c r="B338" s="284"/>
      <c r="C338" s="284"/>
      <c r="D338" s="284"/>
      <c r="E338" s="204"/>
      <c r="F338" s="204"/>
      <c r="G338" s="204"/>
      <c r="H338" s="204"/>
      <c r="I338" s="204"/>
      <c r="J338" s="204"/>
      <c r="K338" s="287"/>
      <c r="L338" s="287"/>
      <c r="M338" s="287"/>
      <c r="N338" s="287"/>
    </row>
    <row r="339" spans="1:14" ht="12.75">
      <c r="A339" s="284"/>
      <c r="B339" s="284"/>
      <c r="C339" s="284"/>
      <c r="D339" s="284"/>
      <c r="E339" s="204"/>
      <c r="F339" s="204"/>
      <c r="G339" s="204"/>
      <c r="H339" s="204"/>
      <c r="I339" s="204"/>
      <c r="J339" s="204"/>
      <c r="K339" s="287"/>
      <c r="L339" s="287"/>
      <c r="M339" s="287"/>
      <c r="N339" s="287"/>
    </row>
    <row r="340" spans="1:14" ht="12.75">
      <c r="A340" s="284"/>
      <c r="B340" s="284"/>
      <c r="C340" s="284"/>
      <c r="D340" s="284"/>
      <c r="E340" s="204"/>
      <c r="F340" s="204"/>
      <c r="G340" s="204"/>
      <c r="H340" s="204"/>
      <c r="I340" s="204"/>
      <c r="J340" s="204"/>
      <c r="K340" s="287"/>
      <c r="L340" s="287"/>
      <c r="M340" s="287"/>
      <c r="N340" s="287"/>
    </row>
    <row r="341" spans="1:14" ht="12.75">
      <c r="A341" s="284"/>
      <c r="B341" s="284"/>
      <c r="C341" s="284"/>
      <c r="D341" s="284"/>
      <c r="E341" s="204"/>
      <c r="F341" s="204"/>
      <c r="G341" s="204"/>
      <c r="H341" s="204"/>
      <c r="I341" s="204"/>
      <c r="J341" s="204"/>
      <c r="K341" s="287"/>
      <c r="L341" s="287"/>
      <c r="M341" s="287"/>
      <c r="N341" s="287"/>
    </row>
    <row r="342" spans="1:14" ht="12.75">
      <c r="A342" s="284"/>
      <c r="B342" s="284"/>
      <c r="C342" s="284"/>
      <c r="D342" s="284"/>
      <c r="E342" s="204"/>
      <c r="F342" s="204"/>
      <c r="G342" s="204"/>
      <c r="H342" s="204"/>
      <c r="I342" s="204"/>
      <c r="J342" s="204"/>
      <c r="K342" s="287"/>
      <c r="L342" s="287"/>
      <c r="M342" s="287"/>
      <c r="N342" s="287"/>
    </row>
    <row r="343" spans="1:14" ht="12.75">
      <c r="A343" s="284"/>
      <c r="B343" s="284"/>
      <c r="C343" s="284"/>
      <c r="D343" s="284"/>
      <c r="E343" s="204"/>
      <c r="F343" s="204"/>
      <c r="G343" s="204"/>
      <c r="H343" s="204"/>
      <c r="I343" s="204"/>
      <c r="J343" s="204"/>
      <c r="K343" s="287"/>
      <c r="L343" s="287"/>
      <c r="M343" s="287"/>
      <c r="N343" s="287"/>
    </row>
    <row r="344" spans="1:14" ht="12.75">
      <c r="A344" s="284"/>
      <c r="B344" s="284"/>
      <c r="C344" s="284"/>
      <c r="D344" s="284"/>
      <c r="E344" s="204"/>
      <c r="F344" s="204"/>
      <c r="G344" s="204"/>
      <c r="H344" s="204"/>
      <c r="I344" s="204"/>
      <c r="J344" s="204"/>
      <c r="K344" s="287"/>
      <c r="L344" s="287"/>
      <c r="M344" s="287"/>
      <c r="N344" s="287"/>
    </row>
    <row r="345" spans="1:14" ht="12.75">
      <c r="A345" s="284"/>
      <c r="B345" s="284"/>
      <c r="C345" s="284"/>
      <c r="D345" s="284"/>
      <c r="E345" s="204"/>
      <c r="F345" s="204"/>
      <c r="G345" s="204"/>
      <c r="H345" s="204"/>
      <c r="I345" s="204"/>
      <c r="J345" s="204"/>
      <c r="K345" s="287"/>
      <c r="L345" s="287"/>
      <c r="M345" s="287"/>
      <c r="N345" s="287"/>
    </row>
    <row r="346" spans="1:14" ht="12.75">
      <c r="A346" s="284"/>
      <c r="B346" s="284"/>
      <c r="C346" s="284"/>
      <c r="D346" s="284"/>
      <c r="E346" s="204"/>
      <c r="F346" s="204"/>
      <c r="G346" s="204"/>
      <c r="H346" s="204"/>
      <c r="I346" s="204"/>
      <c r="J346" s="204"/>
      <c r="K346" s="287"/>
      <c r="L346" s="287"/>
      <c r="M346" s="287"/>
      <c r="N346" s="287"/>
    </row>
    <row r="347" spans="1:14" ht="12.75">
      <c r="A347" s="284"/>
      <c r="B347" s="284"/>
      <c r="C347" s="284"/>
      <c r="D347" s="284"/>
      <c r="E347" s="204"/>
      <c r="F347" s="204"/>
      <c r="G347" s="204"/>
      <c r="H347" s="204"/>
      <c r="I347" s="204"/>
      <c r="J347" s="204"/>
      <c r="K347" s="287"/>
      <c r="L347" s="287"/>
      <c r="M347" s="287"/>
      <c r="N347" s="287"/>
    </row>
    <row r="348" spans="1:14" ht="12.75">
      <c r="A348" s="284"/>
      <c r="B348" s="284"/>
      <c r="C348" s="284"/>
      <c r="D348" s="284"/>
      <c r="E348" s="204"/>
      <c r="F348" s="204"/>
      <c r="G348" s="204"/>
      <c r="H348" s="204"/>
      <c r="I348" s="204"/>
      <c r="J348" s="204"/>
      <c r="K348" s="287"/>
      <c r="L348" s="287"/>
      <c r="M348" s="287"/>
      <c r="N348" s="287"/>
    </row>
    <row r="349" spans="1:14" ht="12.75">
      <c r="A349" s="284"/>
      <c r="B349" s="284"/>
      <c r="C349" s="284"/>
      <c r="D349" s="284"/>
      <c r="E349" s="204"/>
      <c r="F349" s="204"/>
      <c r="G349" s="204"/>
      <c r="H349" s="204"/>
      <c r="I349" s="204"/>
      <c r="J349" s="204"/>
      <c r="K349" s="287"/>
      <c r="L349" s="287"/>
      <c r="M349" s="287"/>
      <c r="N349" s="287"/>
    </row>
    <row r="350" spans="1:14" ht="12.75">
      <c r="A350" s="284"/>
      <c r="B350" s="284"/>
      <c r="C350" s="284"/>
      <c r="D350" s="284"/>
      <c r="E350" s="204"/>
      <c r="F350" s="204"/>
      <c r="G350" s="204"/>
      <c r="H350" s="204"/>
      <c r="I350" s="204"/>
      <c r="J350" s="204"/>
      <c r="K350" s="287"/>
      <c r="L350" s="287"/>
      <c r="M350" s="287"/>
      <c r="N350" s="287"/>
    </row>
    <row r="351" spans="1:14" ht="12.75">
      <c r="A351" s="284"/>
      <c r="B351" s="284"/>
      <c r="C351" s="284"/>
      <c r="D351" s="284"/>
      <c r="E351" s="204"/>
      <c r="F351" s="204"/>
      <c r="G351" s="204"/>
      <c r="H351" s="204"/>
      <c r="I351" s="204"/>
      <c r="J351" s="204"/>
      <c r="K351" s="287"/>
      <c r="L351" s="287"/>
      <c r="M351" s="287"/>
      <c r="N351" s="287"/>
    </row>
    <row r="352" spans="1:14" ht="12.75">
      <c r="A352" s="284"/>
      <c r="B352" s="284"/>
      <c r="C352" s="284"/>
      <c r="D352" s="284"/>
      <c r="E352" s="204"/>
      <c r="F352" s="204"/>
      <c r="G352" s="204"/>
      <c r="H352" s="204"/>
      <c r="I352" s="204"/>
      <c r="J352" s="204"/>
      <c r="K352" s="287"/>
      <c r="L352" s="287"/>
      <c r="M352" s="287"/>
      <c r="N352" s="287"/>
    </row>
    <row r="353" spans="1:14" ht="12.75">
      <c r="A353" s="284"/>
      <c r="B353" s="284"/>
      <c r="C353" s="284"/>
      <c r="D353" s="284"/>
      <c r="E353" s="204"/>
      <c r="F353" s="204"/>
      <c r="G353" s="204"/>
      <c r="H353" s="204"/>
      <c r="I353" s="204"/>
      <c r="J353" s="204"/>
      <c r="K353" s="287"/>
      <c r="L353" s="287"/>
      <c r="M353" s="287"/>
      <c r="N353" s="287"/>
    </row>
    <row r="354" spans="1:14" ht="12.75">
      <c r="A354" s="284"/>
      <c r="B354" s="284"/>
      <c r="C354" s="284"/>
      <c r="D354" s="284"/>
      <c r="E354" s="204"/>
      <c r="F354" s="204"/>
      <c r="G354" s="204"/>
      <c r="H354" s="204"/>
      <c r="I354" s="204"/>
      <c r="J354" s="204"/>
      <c r="K354" s="287"/>
      <c r="L354" s="287"/>
      <c r="M354" s="287"/>
      <c r="N354" s="287"/>
    </row>
    <row r="355" spans="1:14" ht="12.75">
      <c r="A355" s="284"/>
      <c r="B355" s="284"/>
      <c r="C355" s="284"/>
      <c r="D355" s="284"/>
      <c r="E355" s="204"/>
      <c r="F355" s="204"/>
      <c r="G355" s="204"/>
      <c r="H355" s="204"/>
      <c r="I355" s="204"/>
      <c r="J355" s="204"/>
      <c r="K355" s="287"/>
      <c r="L355" s="287"/>
      <c r="M355" s="287"/>
      <c r="N355" s="287"/>
    </row>
    <row r="356" spans="1:14" ht="12.75">
      <c r="A356" s="284"/>
      <c r="B356" s="284"/>
      <c r="C356" s="284"/>
      <c r="D356" s="284"/>
      <c r="E356" s="204"/>
      <c r="F356" s="204"/>
      <c r="G356" s="204"/>
      <c r="H356" s="204"/>
      <c r="I356" s="204"/>
      <c r="J356" s="204"/>
      <c r="K356" s="287"/>
      <c r="L356" s="287"/>
      <c r="M356" s="287"/>
      <c r="N356" s="287"/>
    </row>
    <row r="357" spans="1:14" ht="12.75">
      <c r="A357" s="284"/>
      <c r="B357" s="284"/>
      <c r="C357" s="284"/>
      <c r="D357" s="284"/>
      <c r="E357" s="204"/>
      <c r="F357" s="204"/>
      <c r="G357" s="204"/>
      <c r="H357" s="204"/>
      <c r="I357" s="204"/>
      <c r="J357" s="204"/>
      <c r="K357" s="287"/>
      <c r="L357" s="287"/>
      <c r="M357" s="287"/>
      <c r="N357" s="287"/>
    </row>
    <row r="358" spans="1:14" ht="12.75">
      <c r="A358" s="284"/>
      <c r="B358" s="284"/>
      <c r="C358" s="284"/>
      <c r="D358" s="284"/>
      <c r="E358" s="204"/>
      <c r="F358" s="204"/>
      <c r="G358" s="204"/>
      <c r="H358" s="204"/>
      <c r="I358" s="204"/>
      <c r="J358" s="204"/>
      <c r="K358" s="287"/>
      <c r="L358" s="287"/>
      <c r="M358" s="287"/>
      <c r="N358" s="287"/>
    </row>
    <row r="359" spans="1:14" ht="12.75">
      <c r="A359" s="284"/>
      <c r="B359" s="284"/>
      <c r="C359" s="284"/>
      <c r="D359" s="284"/>
      <c r="E359" s="204"/>
      <c r="F359" s="204"/>
      <c r="G359" s="204"/>
      <c r="H359" s="204"/>
      <c r="I359" s="204"/>
      <c r="J359" s="204"/>
      <c r="K359" s="287"/>
      <c r="L359" s="287"/>
      <c r="M359" s="287"/>
      <c r="N359" s="287"/>
    </row>
    <row r="360" spans="1:14" ht="12.75">
      <c r="A360" s="284"/>
      <c r="B360" s="284"/>
      <c r="C360" s="284"/>
      <c r="D360" s="284"/>
      <c r="E360" s="204"/>
      <c r="F360" s="204"/>
      <c r="G360" s="204"/>
      <c r="H360" s="204"/>
      <c r="I360" s="204"/>
      <c r="J360" s="204"/>
      <c r="K360" s="287"/>
      <c r="L360" s="287"/>
      <c r="M360" s="287"/>
      <c r="N360" s="287"/>
    </row>
    <row r="361" spans="1:14" ht="12.75">
      <c r="A361" s="284"/>
      <c r="B361" s="284"/>
      <c r="C361" s="284"/>
      <c r="D361" s="284"/>
      <c r="E361" s="204"/>
      <c r="F361" s="204"/>
      <c r="G361" s="204"/>
      <c r="H361" s="204"/>
      <c r="I361" s="204"/>
      <c r="J361" s="204"/>
      <c r="K361" s="287"/>
      <c r="L361" s="287"/>
      <c r="M361" s="287"/>
      <c r="N361" s="287"/>
    </row>
    <row r="362" spans="1:14" ht="12.75">
      <c r="A362" s="284"/>
      <c r="B362" s="284"/>
      <c r="C362" s="284"/>
      <c r="D362" s="284"/>
      <c r="E362" s="204"/>
      <c r="F362" s="204"/>
      <c r="G362" s="204"/>
      <c r="H362" s="204"/>
      <c r="I362" s="204"/>
      <c r="J362" s="204"/>
      <c r="K362" s="287"/>
      <c r="L362" s="287"/>
      <c r="M362" s="287"/>
      <c r="N362" s="287"/>
    </row>
    <row r="363" spans="1:14" ht="12.75">
      <c r="A363" s="284"/>
      <c r="B363" s="284"/>
      <c r="C363" s="284"/>
      <c r="D363" s="284"/>
      <c r="E363" s="204"/>
      <c r="F363" s="204"/>
      <c r="G363" s="204"/>
      <c r="H363" s="204"/>
      <c r="I363" s="204"/>
      <c r="J363" s="204"/>
      <c r="K363" s="287"/>
      <c r="L363" s="287"/>
      <c r="M363" s="287"/>
      <c r="N363" s="287"/>
    </row>
    <row r="364" spans="1:14" ht="12.75">
      <c r="A364" s="284"/>
      <c r="B364" s="284"/>
      <c r="C364" s="284"/>
      <c r="D364" s="284"/>
      <c r="E364" s="204"/>
      <c r="F364" s="204"/>
      <c r="G364" s="204"/>
      <c r="H364" s="204"/>
      <c r="I364" s="204"/>
      <c r="J364" s="204"/>
      <c r="K364" s="287"/>
      <c r="L364" s="287"/>
      <c r="M364" s="287"/>
      <c r="N364" s="287"/>
    </row>
    <row r="365" spans="1:14" ht="12.75">
      <c r="A365" s="284"/>
      <c r="B365" s="284"/>
      <c r="C365" s="284"/>
      <c r="D365" s="284"/>
      <c r="E365" s="204"/>
      <c r="F365" s="204"/>
      <c r="G365" s="204"/>
      <c r="H365" s="204"/>
      <c r="I365" s="204"/>
      <c r="J365" s="204"/>
      <c r="K365" s="287"/>
      <c r="L365" s="287"/>
      <c r="M365" s="287"/>
      <c r="N365" s="287"/>
    </row>
    <row r="366" spans="1:14" ht="12.75">
      <c r="A366" s="284"/>
      <c r="B366" s="284"/>
      <c r="C366" s="284"/>
      <c r="D366" s="284"/>
      <c r="E366" s="204"/>
      <c r="F366" s="204"/>
      <c r="G366" s="204"/>
      <c r="H366" s="204"/>
      <c r="I366" s="204"/>
      <c r="J366" s="204"/>
      <c r="K366" s="287"/>
      <c r="L366" s="287"/>
      <c r="M366" s="287"/>
      <c r="N366" s="287"/>
    </row>
    <row r="367" spans="1:14" ht="12.75">
      <c r="A367" s="284"/>
      <c r="B367" s="284"/>
      <c r="C367" s="284"/>
      <c r="D367" s="284"/>
      <c r="E367" s="204"/>
      <c r="F367" s="204"/>
      <c r="G367" s="204"/>
      <c r="H367" s="204"/>
      <c r="I367" s="204"/>
      <c r="J367" s="204"/>
      <c r="K367" s="287"/>
      <c r="L367" s="287"/>
      <c r="M367" s="287"/>
      <c r="N367" s="287"/>
    </row>
    <row r="368" spans="1:14" ht="12.75">
      <c r="A368" s="284"/>
      <c r="B368" s="284"/>
      <c r="C368" s="284"/>
      <c r="D368" s="284"/>
      <c r="E368" s="204"/>
      <c r="F368" s="204"/>
      <c r="G368" s="204"/>
      <c r="H368" s="204"/>
      <c r="I368" s="204"/>
      <c r="J368" s="204"/>
      <c r="K368" s="287"/>
      <c r="L368" s="287"/>
      <c r="M368" s="287"/>
      <c r="N368" s="287"/>
    </row>
    <row r="369" spans="1:14" ht="12.75">
      <c r="A369" s="284"/>
      <c r="B369" s="284"/>
      <c r="C369" s="284"/>
      <c r="D369" s="284"/>
      <c r="E369" s="204"/>
      <c r="F369" s="204"/>
      <c r="G369" s="204"/>
      <c r="H369" s="204"/>
      <c r="I369" s="204"/>
      <c r="J369" s="204"/>
      <c r="K369" s="287"/>
      <c r="L369" s="287"/>
      <c r="M369" s="287"/>
      <c r="N369" s="287"/>
    </row>
    <row r="370" spans="1:14" ht="12.75">
      <c r="A370" s="284"/>
      <c r="B370" s="284"/>
      <c r="C370" s="284"/>
      <c r="D370" s="284"/>
      <c r="E370" s="204"/>
      <c r="F370" s="204"/>
      <c r="G370" s="204"/>
      <c r="H370" s="204"/>
      <c r="I370" s="204"/>
      <c r="J370" s="204"/>
      <c r="K370" s="287"/>
      <c r="L370" s="287"/>
      <c r="M370" s="287"/>
      <c r="N370" s="287"/>
    </row>
    <row r="371" spans="1:14" ht="12.75">
      <c r="A371" s="284"/>
      <c r="B371" s="284"/>
      <c r="C371" s="284"/>
      <c r="D371" s="284"/>
      <c r="E371" s="204"/>
      <c r="F371" s="204"/>
      <c r="G371" s="204"/>
      <c r="H371" s="204"/>
      <c r="I371" s="204"/>
      <c r="J371" s="204"/>
      <c r="K371" s="287"/>
      <c r="L371" s="287"/>
      <c r="M371" s="287"/>
      <c r="N371" s="287"/>
    </row>
    <row r="372" spans="1:14" ht="12.75">
      <c r="A372" s="284"/>
      <c r="B372" s="284"/>
      <c r="C372" s="284"/>
      <c r="D372" s="284"/>
      <c r="E372" s="204"/>
      <c r="F372" s="204"/>
      <c r="G372" s="204"/>
      <c r="H372" s="204"/>
      <c r="I372" s="204"/>
      <c r="J372" s="204"/>
      <c r="K372" s="287"/>
      <c r="L372" s="287"/>
      <c r="M372" s="287"/>
      <c r="N372" s="287"/>
    </row>
    <row r="373" spans="1:14" ht="12.75">
      <c r="A373" s="284"/>
      <c r="B373" s="284"/>
      <c r="C373" s="284"/>
      <c r="D373" s="284"/>
      <c r="E373" s="204"/>
      <c r="F373" s="204"/>
      <c r="G373" s="204"/>
      <c r="H373" s="204"/>
      <c r="I373" s="204"/>
      <c r="J373" s="204"/>
      <c r="K373" s="287"/>
      <c r="L373" s="287"/>
      <c r="M373" s="287"/>
      <c r="N373" s="287"/>
    </row>
    <row r="374" spans="1:14" ht="12.75">
      <c r="A374" s="284"/>
      <c r="B374" s="284"/>
      <c r="C374" s="284"/>
      <c r="D374" s="284"/>
      <c r="E374" s="204"/>
      <c r="F374" s="204"/>
      <c r="G374" s="204"/>
      <c r="H374" s="204"/>
      <c r="I374" s="204"/>
      <c r="J374" s="204"/>
      <c r="K374" s="287"/>
      <c r="L374" s="287"/>
      <c r="M374" s="287"/>
      <c r="N374" s="287"/>
    </row>
    <row r="375" spans="1:14" ht="12.75">
      <c r="A375" s="284"/>
      <c r="B375" s="284"/>
      <c r="C375" s="284"/>
      <c r="D375" s="284"/>
      <c r="E375" s="204"/>
      <c r="F375" s="204"/>
      <c r="G375" s="204"/>
      <c r="H375" s="204"/>
      <c r="I375" s="204"/>
      <c r="J375" s="204"/>
      <c r="K375" s="287"/>
      <c r="L375" s="287"/>
      <c r="M375" s="287"/>
      <c r="N375" s="287"/>
    </row>
    <row r="376" spans="1:14" ht="12.75">
      <c r="A376" s="284"/>
      <c r="B376" s="284"/>
      <c r="C376" s="284"/>
      <c r="D376" s="284"/>
      <c r="E376" s="204"/>
      <c r="F376" s="204"/>
      <c r="G376" s="204"/>
      <c r="H376" s="204"/>
      <c r="I376" s="204"/>
      <c r="J376" s="204"/>
      <c r="K376" s="287"/>
      <c r="L376" s="287"/>
      <c r="M376" s="287"/>
      <c r="N376" s="287"/>
    </row>
    <row r="377" spans="1:14" ht="12.75">
      <c r="A377" s="284"/>
      <c r="B377" s="284"/>
      <c r="C377" s="284"/>
      <c r="D377" s="284"/>
      <c r="E377" s="204"/>
      <c r="F377" s="204"/>
      <c r="G377" s="204"/>
      <c r="H377" s="204"/>
      <c r="I377" s="204"/>
      <c r="J377" s="204"/>
      <c r="K377" s="287"/>
      <c r="L377" s="287"/>
      <c r="M377" s="287"/>
      <c r="N377" s="287"/>
    </row>
    <row r="378" spans="1:14" ht="12.75">
      <c r="A378" s="284"/>
      <c r="B378" s="284"/>
      <c r="C378" s="284"/>
      <c r="D378" s="284"/>
      <c r="E378" s="204"/>
      <c r="F378" s="204"/>
      <c r="G378" s="204"/>
      <c r="H378" s="204"/>
      <c r="I378" s="204"/>
      <c r="J378" s="204"/>
      <c r="K378" s="287"/>
      <c r="L378" s="287"/>
      <c r="M378" s="287"/>
      <c r="N378" s="287"/>
    </row>
    <row r="379" spans="1:14" ht="12.75">
      <c r="A379" s="284"/>
      <c r="B379" s="284"/>
      <c r="C379" s="284"/>
      <c r="D379" s="284"/>
      <c r="E379" s="204"/>
      <c r="F379" s="204"/>
      <c r="G379" s="204"/>
      <c r="H379" s="204"/>
      <c r="I379" s="204"/>
      <c r="J379" s="204"/>
      <c r="K379" s="287"/>
      <c r="L379" s="287"/>
      <c r="M379" s="287"/>
      <c r="N379" s="287"/>
    </row>
    <row r="380" spans="1:14" ht="12.75">
      <c r="A380" s="284"/>
      <c r="B380" s="284"/>
      <c r="C380" s="284"/>
      <c r="D380" s="284"/>
      <c r="E380" s="204"/>
      <c r="F380" s="204"/>
      <c r="G380" s="204"/>
      <c r="H380" s="204"/>
      <c r="I380" s="204"/>
      <c r="J380" s="204"/>
      <c r="K380" s="287"/>
      <c r="L380" s="287"/>
      <c r="M380" s="287"/>
      <c r="N380" s="287"/>
    </row>
    <row r="381" spans="1:14" ht="12.75">
      <c r="A381" s="284"/>
      <c r="B381" s="284"/>
      <c r="C381" s="284"/>
      <c r="D381" s="284"/>
      <c r="E381" s="204"/>
      <c r="F381" s="204"/>
      <c r="G381" s="204"/>
      <c r="H381" s="204"/>
      <c r="I381" s="204"/>
      <c r="J381" s="204"/>
      <c r="K381" s="287"/>
      <c r="L381" s="287"/>
      <c r="M381" s="287"/>
      <c r="N381" s="287"/>
    </row>
    <row r="382" spans="1:14" ht="12.75">
      <c r="A382" s="284"/>
      <c r="B382" s="284"/>
      <c r="C382" s="284"/>
      <c r="D382" s="284"/>
      <c r="E382" s="204"/>
      <c r="F382" s="204"/>
      <c r="G382" s="204"/>
      <c r="H382" s="204"/>
      <c r="I382" s="204"/>
      <c r="J382" s="204"/>
      <c r="K382" s="287"/>
      <c r="L382" s="287"/>
      <c r="M382" s="287"/>
      <c r="N382" s="287"/>
    </row>
    <row r="383" spans="1:14" ht="12.75">
      <c r="A383" s="284"/>
      <c r="B383" s="284"/>
      <c r="C383" s="284"/>
      <c r="D383" s="284"/>
      <c r="E383" s="204"/>
      <c r="F383" s="204"/>
      <c r="G383" s="204"/>
      <c r="H383" s="204"/>
      <c r="I383" s="204"/>
      <c r="J383" s="204"/>
      <c r="K383" s="287"/>
      <c r="L383" s="287"/>
      <c r="M383" s="287"/>
      <c r="N383" s="287"/>
    </row>
    <row r="384" spans="1:14" ht="12.75">
      <c r="A384" s="284"/>
      <c r="B384" s="284"/>
      <c r="C384" s="284"/>
      <c r="D384" s="284"/>
      <c r="E384" s="204"/>
      <c r="F384" s="204"/>
      <c r="G384" s="204"/>
      <c r="H384" s="204"/>
      <c r="I384" s="204"/>
      <c r="J384" s="204"/>
      <c r="K384" s="287"/>
      <c r="L384" s="287"/>
      <c r="M384" s="287"/>
      <c r="N384" s="287"/>
    </row>
    <row r="385" spans="1:14" ht="12.75">
      <c r="A385" s="284"/>
      <c r="B385" s="284"/>
      <c r="C385" s="284"/>
      <c r="D385" s="284"/>
      <c r="E385" s="204"/>
      <c r="F385" s="204"/>
      <c r="G385" s="204"/>
      <c r="H385" s="204"/>
      <c r="I385" s="204"/>
      <c r="J385" s="204"/>
      <c r="K385" s="287"/>
      <c r="L385" s="287"/>
      <c r="M385" s="287"/>
      <c r="N385" s="287"/>
    </row>
    <row r="386" spans="1:14" ht="12.75">
      <c r="A386" s="284"/>
      <c r="B386" s="284"/>
      <c r="C386" s="284"/>
      <c r="D386" s="284"/>
      <c r="E386" s="204"/>
      <c r="F386" s="204"/>
      <c r="G386" s="204"/>
      <c r="H386" s="204"/>
      <c r="I386" s="204"/>
      <c r="J386" s="204"/>
      <c r="K386" s="287"/>
      <c r="L386" s="287"/>
      <c r="M386" s="287"/>
      <c r="N386" s="287"/>
    </row>
    <row r="387" spans="1:14" ht="12.75">
      <c r="A387" s="284"/>
      <c r="B387" s="284"/>
      <c r="C387" s="284"/>
      <c r="D387" s="284"/>
      <c r="E387" s="204"/>
      <c r="F387" s="204"/>
      <c r="G387" s="204"/>
      <c r="H387" s="204"/>
      <c r="I387" s="204"/>
      <c r="J387" s="204"/>
      <c r="K387" s="287"/>
      <c r="L387" s="287"/>
      <c r="M387" s="287"/>
      <c r="N387" s="287"/>
    </row>
    <row r="388" spans="1:14" ht="12.75">
      <c r="A388" s="284"/>
      <c r="B388" s="284"/>
      <c r="C388" s="284"/>
      <c r="D388" s="284"/>
      <c r="E388" s="204"/>
      <c r="F388" s="204"/>
      <c r="G388" s="204"/>
      <c r="H388" s="204"/>
      <c r="I388" s="204"/>
      <c r="J388" s="204"/>
      <c r="K388" s="287"/>
      <c r="L388" s="287"/>
      <c r="M388" s="287"/>
      <c r="N388" s="287"/>
    </row>
    <row r="389" spans="1:14" ht="12.75">
      <c r="A389" s="284"/>
      <c r="B389" s="284"/>
      <c r="C389" s="284"/>
      <c r="D389" s="284"/>
      <c r="E389" s="204"/>
      <c r="F389" s="204"/>
      <c r="G389" s="204"/>
      <c r="H389" s="204"/>
      <c r="I389" s="204"/>
      <c r="J389" s="204"/>
      <c r="K389" s="287"/>
      <c r="L389" s="287"/>
      <c r="M389" s="287"/>
      <c r="N389" s="287"/>
    </row>
    <row r="390" spans="1:14" ht="12.75">
      <c r="A390" s="284"/>
      <c r="B390" s="284"/>
      <c r="C390" s="284"/>
      <c r="D390" s="284"/>
      <c r="E390" s="204"/>
      <c r="F390" s="204"/>
      <c r="G390" s="204"/>
      <c r="H390" s="204"/>
      <c r="I390" s="204"/>
      <c r="J390" s="204"/>
      <c r="K390" s="287"/>
      <c r="L390" s="287"/>
      <c r="M390" s="287"/>
      <c r="N390" s="287"/>
    </row>
    <row r="391" spans="1:14" ht="12.75">
      <c r="A391" s="284"/>
      <c r="B391" s="284"/>
      <c r="C391" s="284"/>
      <c r="D391" s="284"/>
      <c r="E391" s="204"/>
      <c r="F391" s="204"/>
      <c r="G391" s="204"/>
      <c r="H391" s="204"/>
      <c r="I391" s="204"/>
      <c r="J391" s="204"/>
      <c r="K391" s="287"/>
      <c r="L391" s="287"/>
      <c r="M391" s="287"/>
      <c r="N391" s="287"/>
    </row>
    <row r="392" spans="1:14" ht="12.75">
      <c r="A392" s="284"/>
      <c r="B392" s="284"/>
      <c r="C392" s="284"/>
      <c r="D392" s="284"/>
      <c r="E392" s="204"/>
      <c r="F392" s="204"/>
      <c r="G392" s="204"/>
      <c r="H392" s="204"/>
      <c r="I392" s="204"/>
      <c r="J392" s="204"/>
      <c r="K392" s="287"/>
      <c r="L392" s="287"/>
      <c r="M392" s="287"/>
      <c r="N392" s="287"/>
    </row>
    <row r="393" spans="1:14" ht="12.75">
      <c r="A393" s="284"/>
      <c r="B393" s="284"/>
      <c r="C393" s="284"/>
      <c r="D393" s="284"/>
      <c r="E393" s="204"/>
      <c r="F393" s="204"/>
      <c r="G393" s="204"/>
      <c r="H393" s="204"/>
      <c r="I393" s="204"/>
      <c r="J393" s="204"/>
      <c r="K393" s="287"/>
      <c r="L393" s="287"/>
      <c r="M393" s="287"/>
      <c r="N393" s="287"/>
    </row>
    <row r="394" spans="1:14" ht="12.75">
      <c r="A394" s="284"/>
      <c r="B394" s="284"/>
      <c r="C394" s="284"/>
      <c r="D394" s="284"/>
      <c r="E394" s="204"/>
      <c r="F394" s="204"/>
      <c r="G394" s="204"/>
      <c r="H394" s="204"/>
      <c r="I394" s="204"/>
      <c r="J394" s="204"/>
      <c r="K394" s="287"/>
      <c r="L394" s="287"/>
      <c r="M394" s="287"/>
      <c r="N394" s="287"/>
    </row>
    <row r="395" spans="1:14" ht="12.75">
      <c r="A395" s="284"/>
      <c r="B395" s="284"/>
      <c r="C395" s="284"/>
      <c r="D395" s="284"/>
      <c r="E395" s="204"/>
      <c r="F395" s="204"/>
      <c r="G395" s="204"/>
      <c r="H395" s="204"/>
      <c r="I395" s="204"/>
      <c r="J395" s="204"/>
      <c r="K395" s="287"/>
      <c r="L395" s="287"/>
      <c r="M395" s="287"/>
      <c r="N395" s="287"/>
    </row>
    <row r="396" spans="1:14" ht="12.75">
      <c r="A396" s="284"/>
      <c r="B396" s="284"/>
      <c r="C396" s="284"/>
      <c r="D396" s="284"/>
      <c r="E396" s="204"/>
      <c r="F396" s="204"/>
      <c r="G396" s="204"/>
      <c r="H396" s="204"/>
      <c r="I396" s="204"/>
      <c r="J396" s="204"/>
      <c r="K396" s="287"/>
      <c r="L396" s="287"/>
      <c r="M396" s="287"/>
      <c r="N396" s="287"/>
    </row>
    <row r="397" spans="1:14" ht="12.75">
      <c r="A397" s="284"/>
      <c r="B397" s="284"/>
      <c r="C397" s="284"/>
      <c r="D397" s="284"/>
      <c r="E397" s="204"/>
      <c r="F397" s="204"/>
      <c r="G397" s="204"/>
      <c r="H397" s="204"/>
      <c r="I397" s="204"/>
      <c r="J397" s="204"/>
      <c r="K397" s="287"/>
      <c r="L397" s="287"/>
      <c r="M397" s="287"/>
      <c r="N397" s="287"/>
    </row>
    <row r="398" spans="1:14" ht="12.75">
      <c r="A398" s="284"/>
      <c r="B398" s="284"/>
      <c r="C398" s="284"/>
      <c r="D398" s="284"/>
      <c r="E398" s="204"/>
      <c r="F398" s="204"/>
      <c r="G398" s="204"/>
      <c r="H398" s="204"/>
      <c r="I398" s="204"/>
      <c r="J398" s="204"/>
      <c r="K398" s="287"/>
      <c r="L398" s="287"/>
      <c r="M398" s="287"/>
      <c r="N398" s="287"/>
    </row>
    <row r="399" spans="1:14" ht="12.75">
      <c r="A399" s="284"/>
      <c r="B399" s="284"/>
      <c r="C399" s="284"/>
      <c r="D399" s="284"/>
      <c r="E399" s="204"/>
      <c r="F399" s="204"/>
      <c r="G399" s="204"/>
      <c r="H399" s="204"/>
      <c r="I399" s="204"/>
      <c r="J399" s="204"/>
      <c r="K399" s="287"/>
      <c r="L399" s="287"/>
      <c r="M399" s="287"/>
      <c r="N399" s="287"/>
    </row>
    <row r="400" spans="1:14" ht="12.75">
      <c r="A400" s="284"/>
      <c r="B400" s="284"/>
      <c r="C400" s="284"/>
      <c r="D400" s="284"/>
      <c r="E400" s="204"/>
      <c r="F400" s="204"/>
      <c r="G400" s="204"/>
      <c r="H400" s="204"/>
      <c r="I400" s="204"/>
      <c r="J400" s="204"/>
      <c r="K400" s="287"/>
      <c r="L400" s="287"/>
      <c r="M400" s="287"/>
      <c r="N400" s="287"/>
    </row>
    <row r="401" spans="1:14" ht="12.75">
      <c r="A401" s="284"/>
      <c r="B401" s="284"/>
      <c r="C401" s="284"/>
      <c r="D401" s="284"/>
      <c r="E401" s="204"/>
      <c r="F401" s="204"/>
      <c r="G401" s="204"/>
      <c r="H401" s="204"/>
      <c r="I401" s="204"/>
      <c r="J401" s="204"/>
      <c r="K401" s="287"/>
      <c r="L401" s="287"/>
      <c r="M401" s="287"/>
      <c r="N401" s="287"/>
    </row>
    <row r="402" spans="1:14" ht="12.75">
      <c r="A402" s="284"/>
      <c r="B402" s="284"/>
      <c r="C402" s="284"/>
      <c r="D402" s="284"/>
      <c r="E402" s="204"/>
      <c r="F402" s="204"/>
      <c r="G402" s="204"/>
      <c r="H402" s="204"/>
      <c r="I402" s="204"/>
      <c r="J402" s="204"/>
      <c r="K402" s="287"/>
      <c r="L402" s="287"/>
      <c r="M402" s="287"/>
      <c r="N402" s="287"/>
    </row>
    <row r="403" spans="1:14" ht="12.75">
      <c r="A403" s="284"/>
      <c r="B403" s="284"/>
      <c r="C403" s="284"/>
      <c r="D403" s="284"/>
      <c r="E403" s="204"/>
      <c r="F403" s="204"/>
      <c r="G403" s="204"/>
      <c r="H403" s="204"/>
      <c r="I403" s="204"/>
      <c r="J403" s="204"/>
      <c r="K403" s="287"/>
      <c r="L403" s="287"/>
      <c r="M403" s="287"/>
      <c r="N403" s="287"/>
    </row>
    <row r="404" spans="1:14" ht="12.75">
      <c r="A404" s="284"/>
      <c r="B404" s="284"/>
      <c r="C404" s="284"/>
      <c r="D404" s="284"/>
      <c r="E404" s="204"/>
      <c r="F404" s="204"/>
      <c r="G404" s="204"/>
      <c r="H404" s="204"/>
      <c r="I404" s="204"/>
      <c r="J404" s="204"/>
      <c r="K404" s="287"/>
      <c r="L404" s="287"/>
      <c r="M404" s="287"/>
      <c r="N404" s="287"/>
    </row>
    <row r="405" spans="1:14" ht="12.75">
      <c r="A405" s="284"/>
      <c r="B405" s="284"/>
      <c r="C405" s="284"/>
      <c r="D405" s="284"/>
      <c r="E405" s="204"/>
      <c r="F405" s="204"/>
      <c r="G405" s="204"/>
      <c r="H405" s="204"/>
      <c r="I405" s="204"/>
      <c r="J405" s="204"/>
      <c r="K405" s="287"/>
      <c r="L405" s="287"/>
      <c r="M405" s="287"/>
      <c r="N405" s="287"/>
    </row>
    <row r="406" spans="1:14" ht="12.75">
      <c r="A406" s="284"/>
      <c r="B406" s="284"/>
      <c r="C406" s="284"/>
      <c r="D406" s="284"/>
      <c r="E406" s="204"/>
      <c r="F406" s="204"/>
      <c r="G406" s="204"/>
      <c r="H406" s="204"/>
      <c r="I406" s="204"/>
      <c r="J406" s="204"/>
      <c r="K406" s="287"/>
      <c r="L406" s="287"/>
      <c r="M406" s="287"/>
      <c r="N406" s="287"/>
    </row>
    <row r="407" spans="1:14" ht="12.75">
      <c r="A407" s="284"/>
      <c r="B407" s="284"/>
      <c r="C407" s="284"/>
      <c r="D407" s="284"/>
      <c r="E407" s="204"/>
      <c r="F407" s="204"/>
      <c r="G407" s="204"/>
      <c r="H407" s="204"/>
      <c r="I407" s="204"/>
      <c r="J407" s="204"/>
      <c r="K407" s="287"/>
      <c r="L407" s="287"/>
      <c r="M407" s="287"/>
      <c r="N407" s="287"/>
    </row>
    <row r="408" spans="1:14" ht="12.75">
      <c r="A408" s="284"/>
      <c r="B408" s="284"/>
      <c r="C408" s="284"/>
      <c r="D408" s="284"/>
      <c r="E408" s="204"/>
      <c r="F408" s="204"/>
      <c r="G408" s="204"/>
      <c r="H408" s="204"/>
      <c r="I408" s="204"/>
      <c r="J408" s="204"/>
      <c r="K408" s="287"/>
      <c r="L408" s="287"/>
      <c r="M408" s="287"/>
      <c r="N408" s="287"/>
    </row>
    <row r="409" spans="1:14" ht="12.75">
      <c r="A409" s="284"/>
      <c r="B409" s="284"/>
      <c r="C409" s="284"/>
      <c r="D409" s="284"/>
      <c r="E409" s="204"/>
      <c r="F409" s="204"/>
      <c r="G409" s="204"/>
      <c r="H409" s="204"/>
      <c r="I409" s="204"/>
      <c r="J409" s="204"/>
      <c r="K409" s="287"/>
      <c r="L409" s="287"/>
      <c r="M409" s="287"/>
      <c r="N409" s="287"/>
    </row>
    <row r="410" spans="1:14" ht="12.75">
      <c r="A410" s="284"/>
      <c r="B410" s="284"/>
      <c r="C410" s="284"/>
      <c r="D410" s="284"/>
      <c r="E410" s="204"/>
      <c r="F410" s="204"/>
      <c r="G410" s="204"/>
      <c r="H410" s="204"/>
      <c r="I410" s="204"/>
      <c r="J410" s="204"/>
      <c r="K410" s="287"/>
      <c r="L410" s="287"/>
      <c r="M410" s="287"/>
      <c r="N410" s="287"/>
    </row>
    <row r="411" spans="1:14" ht="12.75">
      <c r="A411" s="284"/>
      <c r="B411" s="284"/>
      <c r="C411" s="284"/>
      <c r="D411" s="284"/>
      <c r="E411" s="204"/>
      <c r="F411" s="204"/>
      <c r="G411" s="204"/>
      <c r="H411" s="204"/>
      <c r="I411" s="204"/>
      <c r="J411" s="204"/>
      <c r="K411" s="287"/>
      <c r="L411" s="287"/>
      <c r="M411" s="287"/>
      <c r="N411" s="287"/>
    </row>
    <row r="412" spans="1:14" ht="12.75">
      <c r="A412" s="284"/>
      <c r="B412" s="284"/>
      <c r="C412" s="284"/>
      <c r="D412" s="284"/>
      <c r="E412" s="204"/>
      <c r="F412" s="204"/>
      <c r="G412" s="204"/>
      <c r="H412" s="204"/>
      <c r="I412" s="204"/>
      <c r="J412" s="204"/>
      <c r="K412" s="287"/>
      <c r="L412" s="287"/>
      <c r="M412" s="287"/>
      <c r="N412" s="287"/>
    </row>
    <row r="413" spans="1:14" ht="12.75">
      <c r="A413" s="284"/>
      <c r="B413" s="284"/>
      <c r="C413" s="284"/>
      <c r="D413" s="284"/>
      <c r="E413" s="204"/>
      <c r="F413" s="204"/>
      <c r="G413" s="204"/>
      <c r="H413" s="204"/>
      <c r="I413" s="204"/>
      <c r="J413" s="204"/>
      <c r="K413" s="287"/>
      <c r="L413" s="287"/>
      <c r="M413" s="287"/>
      <c r="N413" s="287"/>
    </row>
    <row r="414" spans="1:14" ht="12.75">
      <c r="A414" s="284"/>
      <c r="B414" s="284"/>
      <c r="C414" s="284"/>
      <c r="D414" s="284"/>
      <c r="E414" s="204"/>
      <c r="F414" s="204"/>
      <c r="G414" s="204"/>
      <c r="H414" s="204"/>
      <c r="I414" s="204"/>
      <c r="J414" s="204"/>
      <c r="K414" s="287"/>
      <c r="L414" s="287"/>
      <c r="M414" s="287"/>
      <c r="N414" s="287"/>
    </row>
    <row r="415" spans="1:14" ht="12.75">
      <c r="A415" s="284"/>
      <c r="B415" s="284"/>
      <c r="C415" s="284"/>
      <c r="D415" s="284"/>
      <c r="E415" s="204"/>
      <c r="F415" s="204"/>
      <c r="G415" s="204"/>
      <c r="H415" s="204"/>
      <c r="I415" s="204"/>
      <c r="J415" s="204"/>
      <c r="K415" s="287"/>
      <c r="L415" s="287"/>
      <c r="M415" s="287"/>
      <c r="N415" s="287"/>
    </row>
    <row r="416" spans="1:14" ht="12.75">
      <c r="A416" s="284"/>
      <c r="B416" s="284"/>
      <c r="C416" s="284"/>
      <c r="D416" s="284"/>
      <c r="E416" s="204"/>
      <c r="F416" s="204"/>
      <c r="G416" s="204"/>
      <c r="H416" s="204"/>
      <c r="I416" s="204"/>
      <c r="J416" s="204"/>
      <c r="K416" s="287"/>
      <c r="L416" s="287"/>
      <c r="M416" s="287"/>
      <c r="N416" s="287"/>
    </row>
    <row r="417" spans="1:14" ht="12.75">
      <c r="A417" s="284"/>
      <c r="B417" s="284"/>
      <c r="C417" s="284"/>
      <c r="D417" s="284"/>
      <c r="E417" s="204"/>
      <c r="F417" s="204"/>
      <c r="G417" s="204"/>
      <c r="H417" s="204"/>
      <c r="I417" s="204"/>
      <c r="J417" s="204"/>
      <c r="K417" s="287"/>
      <c r="L417" s="287"/>
      <c r="M417" s="287"/>
      <c r="N417" s="287"/>
    </row>
    <row r="418" spans="1:14" ht="12.75">
      <c r="A418" s="284"/>
      <c r="B418" s="284"/>
      <c r="C418" s="284"/>
      <c r="D418" s="284"/>
      <c r="E418" s="204"/>
      <c r="F418" s="204"/>
      <c r="G418" s="204"/>
      <c r="H418" s="204"/>
      <c r="I418" s="204"/>
      <c r="J418" s="204"/>
      <c r="K418" s="287"/>
      <c r="L418" s="287"/>
      <c r="M418" s="287"/>
      <c r="N418" s="287"/>
    </row>
    <row r="419" spans="1:14" ht="12.75">
      <c r="A419" s="284"/>
      <c r="B419" s="284"/>
      <c r="C419" s="284"/>
      <c r="D419" s="284"/>
      <c r="E419" s="204"/>
      <c r="F419" s="204"/>
      <c r="G419" s="204"/>
      <c r="H419" s="204"/>
      <c r="I419" s="204"/>
      <c r="J419" s="204"/>
      <c r="K419" s="287"/>
      <c r="L419" s="287"/>
      <c r="M419" s="287"/>
      <c r="N419" s="287"/>
    </row>
    <row r="420" spans="1:14" ht="12.75">
      <c r="A420" s="284"/>
      <c r="B420" s="284"/>
      <c r="C420" s="284"/>
      <c r="D420" s="284"/>
      <c r="E420" s="204"/>
      <c r="F420" s="204"/>
      <c r="G420" s="204"/>
      <c r="H420" s="204"/>
      <c r="I420" s="204"/>
      <c r="J420" s="204"/>
      <c r="K420" s="287"/>
      <c r="L420" s="287"/>
      <c r="M420" s="287"/>
      <c r="N420" s="287"/>
    </row>
    <row r="421" spans="1:14" ht="12.75">
      <c r="A421" s="284"/>
      <c r="B421" s="284"/>
      <c r="C421" s="284"/>
      <c r="D421" s="284"/>
      <c r="E421" s="204"/>
      <c r="F421" s="204"/>
      <c r="G421" s="204"/>
      <c r="H421" s="204"/>
      <c r="I421" s="204"/>
      <c r="J421" s="204"/>
      <c r="K421" s="287"/>
      <c r="L421" s="287"/>
      <c r="M421" s="287"/>
      <c r="N421" s="287"/>
    </row>
    <row r="422" spans="1:14" ht="12.75">
      <c r="A422" s="284"/>
      <c r="B422" s="284"/>
      <c r="C422" s="284"/>
      <c r="D422" s="284"/>
      <c r="E422" s="204"/>
      <c r="F422" s="204"/>
      <c r="G422" s="204"/>
      <c r="H422" s="204"/>
      <c r="I422" s="204"/>
      <c r="J422" s="204"/>
      <c r="K422" s="287"/>
      <c r="L422" s="287"/>
      <c r="M422" s="287"/>
      <c r="N422" s="287"/>
    </row>
    <row r="423" spans="1:14" ht="12.75">
      <c r="A423" s="284"/>
      <c r="B423" s="284"/>
      <c r="C423" s="284"/>
      <c r="D423" s="284"/>
      <c r="E423" s="204"/>
      <c r="F423" s="204"/>
      <c r="G423" s="204"/>
      <c r="H423" s="204"/>
      <c r="I423" s="204"/>
      <c r="J423" s="204"/>
      <c r="K423" s="287"/>
      <c r="L423" s="287"/>
      <c r="M423" s="287"/>
      <c r="N423" s="287"/>
    </row>
    <row r="424" spans="1:14" ht="12.75">
      <c r="A424" s="284"/>
      <c r="B424" s="284"/>
      <c r="C424" s="284"/>
      <c r="D424" s="284"/>
      <c r="E424" s="204"/>
      <c r="F424" s="204"/>
      <c r="G424" s="204"/>
      <c r="H424" s="204"/>
      <c r="I424" s="204"/>
      <c r="J424" s="204"/>
      <c r="K424" s="287"/>
      <c r="L424" s="287"/>
      <c r="M424" s="287"/>
      <c r="N424" s="287"/>
    </row>
    <row r="425" spans="1:14" ht="12.75">
      <c r="A425" s="284"/>
      <c r="B425" s="284"/>
      <c r="C425" s="284"/>
      <c r="D425" s="284"/>
      <c r="E425" s="204"/>
      <c r="F425" s="204"/>
      <c r="G425" s="204"/>
      <c r="H425" s="204"/>
      <c r="I425" s="204"/>
      <c r="J425" s="204"/>
      <c r="K425" s="287"/>
      <c r="L425" s="287"/>
      <c r="M425" s="287"/>
      <c r="N425" s="287"/>
    </row>
    <row r="426" spans="1:14" ht="12.75">
      <c r="A426" s="284"/>
      <c r="B426" s="284"/>
      <c r="C426" s="284"/>
      <c r="D426" s="284"/>
      <c r="E426" s="204"/>
      <c r="F426" s="204"/>
      <c r="G426" s="204"/>
      <c r="H426" s="204"/>
      <c r="I426" s="204"/>
      <c r="J426" s="204"/>
      <c r="K426" s="287"/>
      <c r="L426" s="287"/>
      <c r="M426" s="287"/>
      <c r="N426" s="287"/>
    </row>
    <row r="427" spans="1:14" ht="12.75">
      <c r="A427" s="284"/>
      <c r="B427" s="284"/>
      <c r="C427" s="284"/>
      <c r="D427" s="284"/>
      <c r="E427" s="204"/>
      <c r="F427" s="204"/>
      <c r="G427" s="204"/>
      <c r="H427" s="204"/>
      <c r="I427" s="204"/>
      <c r="J427" s="204"/>
      <c r="K427" s="287"/>
      <c r="L427" s="287"/>
      <c r="M427" s="287"/>
      <c r="N427" s="287"/>
    </row>
    <row r="428" spans="1:14" ht="12.75">
      <c r="A428" s="284"/>
      <c r="B428" s="284"/>
      <c r="C428" s="284"/>
      <c r="D428" s="284"/>
      <c r="E428" s="204"/>
      <c r="F428" s="204"/>
      <c r="G428" s="204"/>
      <c r="H428" s="204"/>
      <c r="I428" s="204"/>
      <c r="J428" s="204"/>
      <c r="K428" s="287"/>
      <c r="L428" s="287"/>
      <c r="M428" s="287"/>
      <c r="N428" s="287"/>
    </row>
    <row r="429" spans="1:14" ht="12.75">
      <c r="A429" s="284"/>
      <c r="B429" s="284"/>
      <c r="C429" s="284"/>
      <c r="D429" s="284"/>
      <c r="E429" s="204"/>
      <c r="F429" s="204"/>
      <c r="G429" s="204"/>
      <c r="H429" s="204"/>
      <c r="I429" s="204"/>
      <c r="J429" s="204"/>
      <c r="K429" s="287"/>
      <c r="L429" s="287"/>
      <c r="M429" s="287"/>
      <c r="N429" s="287"/>
    </row>
    <row r="430" spans="1:14" ht="12.75">
      <c r="A430" s="284"/>
      <c r="B430" s="284"/>
      <c r="C430" s="284"/>
      <c r="D430" s="284"/>
      <c r="E430" s="204"/>
      <c r="F430" s="204"/>
      <c r="G430" s="204"/>
      <c r="H430" s="204"/>
      <c r="I430" s="204"/>
      <c r="J430" s="204"/>
      <c r="K430" s="287"/>
      <c r="L430" s="287"/>
      <c r="M430" s="287"/>
      <c r="N430" s="287"/>
    </row>
    <row r="431" spans="1:14" ht="12.75">
      <c r="A431" s="284"/>
      <c r="B431" s="284"/>
      <c r="C431" s="284"/>
      <c r="D431" s="284"/>
      <c r="E431" s="204"/>
      <c r="F431" s="204"/>
      <c r="G431" s="204"/>
      <c r="H431" s="204"/>
      <c r="I431" s="204"/>
      <c r="J431" s="204"/>
      <c r="K431" s="287"/>
      <c r="L431" s="287"/>
      <c r="M431" s="287"/>
      <c r="N431" s="287"/>
    </row>
    <row r="432" spans="1:14" ht="12.75">
      <c r="A432" s="284"/>
      <c r="B432" s="284"/>
      <c r="C432" s="284"/>
      <c r="D432" s="284"/>
      <c r="E432" s="204"/>
      <c r="F432" s="204"/>
      <c r="G432" s="204"/>
      <c r="H432" s="204"/>
      <c r="I432" s="204"/>
      <c r="J432" s="204"/>
      <c r="K432" s="287"/>
      <c r="L432" s="287"/>
      <c r="M432" s="287"/>
      <c r="N432" s="287"/>
    </row>
    <row r="433" spans="1:14" ht="12.75">
      <c r="A433" s="284"/>
      <c r="B433" s="284"/>
      <c r="C433" s="284"/>
      <c r="D433" s="284"/>
      <c r="E433" s="204"/>
      <c r="F433" s="204"/>
      <c r="G433" s="204"/>
      <c r="H433" s="204"/>
      <c r="I433" s="204"/>
      <c r="J433" s="204"/>
      <c r="K433" s="287"/>
      <c r="L433" s="287"/>
      <c r="M433" s="287"/>
      <c r="N433" s="287"/>
    </row>
    <row r="434" spans="1:14" ht="12.75">
      <c r="A434" s="284"/>
      <c r="B434" s="284"/>
      <c r="C434" s="284"/>
      <c r="D434" s="284"/>
      <c r="E434" s="204"/>
      <c r="F434" s="204"/>
      <c r="G434" s="204"/>
      <c r="H434" s="204"/>
      <c r="I434" s="204"/>
      <c r="J434" s="204"/>
      <c r="K434" s="287"/>
      <c r="L434" s="287"/>
      <c r="M434" s="287"/>
      <c r="N434" s="287"/>
    </row>
    <row r="435" spans="1:14" ht="12.75">
      <c r="A435" s="284"/>
      <c r="B435" s="284"/>
      <c r="C435" s="284"/>
      <c r="D435" s="284"/>
      <c r="E435" s="204"/>
      <c r="F435" s="204"/>
      <c r="G435" s="204"/>
      <c r="H435" s="204"/>
      <c r="I435" s="204"/>
      <c r="J435" s="204"/>
      <c r="K435" s="287"/>
      <c r="L435" s="287"/>
      <c r="M435" s="287"/>
      <c r="N435" s="287"/>
    </row>
    <row r="436" spans="1:14" ht="12.75">
      <c r="A436" s="284"/>
      <c r="B436" s="284"/>
      <c r="C436" s="284"/>
      <c r="D436" s="284"/>
      <c r="E436" s="204"/>
      <c r="F436" s="204"/>
      <c r="G436" s="204"/>
      <c r="H436" s="204"/>
      <c r="I436" s="204"/>
      <c r="J436" s="204"/>
      <c r="K436" s="287"/>
      <c r="L436" s="287"/>
      <c r="M436" s="287"/>
      <c r="N436" s="287"/>
    </row>
    <row r="437" spans="1:14" ht="12.75">
      <c r="A437" s="284"/>
      <c r="B437" s="284"/>
      <c r="C437" s="284"/>
      <c r="D437" s="284"/>
      <c r="E437" s="204"/>
      <c r="F437" s="204"/>
      <c r="G437" s="204"/>
      <c r="H437" s="204"/>
      <c r="I437" s="204"/>
      <c r="J437" s="204"/>
      <c r="K437" s="287"/>
      <c r="L437" s="287"/>
      <c r="M437" s="287"/>
      <c r="N437" s="287"/>
    </row>
    <row r="438" spans="1:14" ht="12.75">
      <c r="A438" s="284"/>
      <c r="B438" s="284"/>
      <c r="C438" s="284"/>
      <c r="D438" s="284"/>
      <c r="E438" s="204"/>
      <c r="F438" s="204"/>
      <c r="G438" s="204"/>
      <c r="H438" s="204"/>
      <c r="I438" s="204"/>
      <c r="J438" s="204"/>
      <c r="K438" s="287"/>
      <c r="L438" s="287"/>
      <c r="M438" s="287"/>
      <c r="N438" s="287"/>
    </row>
    <row r="439" spans="1:14" ht="12.75">
      <c r="A439" s="284"/>
      <c r="B439" s="284"/>
      <c r="C439" s="284"/>
      <c r="D439" s="284"/>
      <c r="E439" s="204"/>
      <c r="F439" s="204"/>
      <c r="G439" s="204"/>
      <c r="H439" s="204"/>
      <c r="I439" s="204"/>
      <c r="J439" s="204"/>
      <c r="K439" s="287"/>
      <c r="L439" s="287"/>
      <c r="M439" s="287"/>
      <c r="N439" s="287"/>
    </row>
    <row r="440" spans="1:14" ht="12.75">
      <c r="A440" s="284"/>
      <c r="B440" s="284"/>
      <c r="C440" s="284"/>
      <c r="D440" s="284"/>
      <c r="E440" s="204"/>
      <c r="F440" s="204"/>
      <c r="G440" s="204"/>
      <c r="H440" s="204"/>
      <c r="I440" s="204"/>
      <c r="J440" s="204"/>
      <c r="K440" s="287"/>
      <c r="L440" s="287"/>
      <c r="M440" s="287"/>
      <c r="N440" s="287"/>
    </row>
    <row r="441" spans="1:14" ht="12.75">
      <c r="A441" s="284"/>
      <c r="B441" s="284"/>
      <c r="C441" s="284"/>
      <c r="D441" s="284"/>
      <c r="E441" s="204"/>
      <c r="F441" s="204"/>
      <c r="G441" s="204"/>
      <c r="H441" s="204"/>
      <c r="I441" s="204"/>
      <c r="J441" s="204"/>
      <c r="K441" s="287"/>
      <c r="L441" s="287"/>
      <c r="M441" s="287"/>
      <c r="N441" s="287"/>
    </row>
    <row r="442" spans="1:14" ht="12.75">
      <c r="A442" s="284"/>
      <c r="B442" s="284"/>
      <c r="C442" s="284"/>
      <c r="D442" s="284"/>
      <c r="E442" s="204"/>
      <c r="F442" s="204"/>
      <c r="G442" s="204"/>
      <c r="H442" s="204"/>
      <c r="I442" s="204"/>
      <c r="J442" s="204"/>
      <c r="K442" s="287"/>
      <c r="L442" s="287"/>
      <c r="M442" s="287"/>
      <c r="N442" s="287"/>
    </row>
    <row r="443" spans="1:14" ht="12.75">
      <c r="A443" s="284"/>
      <c r="B443" s="284"/>
      <c r="C443" s="284"/>
      <c r="D443" s="284"/>
      <c r="E443" s="204"/>
      <c r="F443" s="204"/>
      <c r="G443" s="204"/>
      <c r="H443" s="204"/>
      <c r="I443" s="204"/>
      <c r="J443" s="204"/>
      <c r="K443" s="287"/>
      <c r="L443" s="287"/>
      <c r="M443" s="287"/>
      <c r="N443" s="287"/>
    </row>
    <row r="444" spans="1:14" ht="12.75">
      <c r="A444" s="284"/>
      <c r="B444" s="284"/>
      <c r="C444" s="284"/>
      <c r="D444" s="284"/>
      <c r="E444" s="204"/>
      <c r="F444" s="204"/>
      <c r="G444" s="204"/>
      <c r="H444" s="204"/>
      <c r="I444" s="204"/>
      <c r="J444" s="204"/>
      <c r="K444" s="287"/>
      <c r="L444" s="287"/>
      <c r="M444" s="287"/>
      <c r="N444" s="287"/>
    </row>
    <row r="445" spans="1:14" ht="12.75">
      <c r="A445" s="284"/>
      <c r="B445" s="284"/>
      <c r="C445" s="284"/>
      <c r="D445" s="284"/>
      <c r="E445" s="204"/>
      <c r="F445" s="204"/>
      <c r="G445" s="204"/>
      <c r="H445" s="204"/>
      <c r="I445" s="204"/>
      <c r="J445" s="204"/>
      <c r="K445" s="287"/>
      <c r="L445" s="287"/>
      <c r="M445" s="287"/>
      <c r="N445" s="287"/>
    </row>
    <row r="446" spans="1:14" ht="12.75">
      <c r="A446" s="284"/>
      <c r="B446" s="284"/>
      <c r="C446" s="284"/>
      <c r="D446" s="284"/>
      <c r="E446" s="204"/>
      <c r="F446" s="204"/>
      <c r="G446" s="204"/>
      <c r="H446" s="204"/>
      <c r="I446" s="204"/>
      <c r="J446" s="204"/>
      <c r="K446" s="287"/>
      <c r="L446" s="287"/>
      <c r="M446" s="287"/>
      <c r="N446" s="287"/>
    </row>
    <row r="447" spans="1:14" ht="12.75">
      <c r="A447" s="284"/>
      <c r="B447" s="284"/>
      <c r="C447" s="284"/>
      <c r="D447" s="284"/>
      <c r="E447" s="204"/>
      <c r="F447" s="204"/>
      <c r="G447" s="204"/>
      <c r="H447" s="204"/>
      <c r="I447" s="204"/>
      <c r="J447" s="204"/>
      <c r="K447" s="287"/>
      <c r="L447" s="287"/>
      <c r="M447" s="287"/>
      <c r="N447" s="287"/>
    </row>
    <row r="448" spans="1:14" ht="12.75">
      <c r="A448" s="284"/>
      <c r="B448" s="284"/>
      <c r="C448" s="284"/>
      <c r="D448" s="284"/>
      <c r="E448" s="204"/>
      <c r="F448" s="204"/>
      <c r="G448" s="204"/>
      <c r="H448" s="204"/>
      <c r="I448" s="204"/>
      <c r="J448" s="204"/>
      <c r="K448" s="287"/>
      <c r="L448" s="287"/>
      <c r="M448" s="287"/>
      <c r="N448" s="287"/>
    </row>
    <row r="449" spans="1:14" ht="12.75">
      <c r="A449" s="284"/>
      <c r="B449" s="284"/>
      <c r="C449" s="284"/>
      <c r="D449" s="284"/>
      <c r="E449" s="204"/>
      <c r="F449" s="204"/>
      <c r="G449" s="204"/>
      <c r="H449" s="204"/>
      <c r="I449" s="204"/>
      <c r="J449" s="204"/>
      <c r="K449" s="287"/>
      <c r="L449" s="287"/>
      <c r="M449" s="287"/>
      <c r="N449" s="287"/>
    </row>
    <row r="450" spans="1:14" ht="12.75">
      <c r="A450" s="284"/>
      <c r="B450" s="284"/>
      <c r="C450" s="284"/>
      <c r="D450" s="284"/>
      <c r="E450" s="204"/>
      <c r="F450" s="204"/>
      <c r="G450" s="204"/>
      <c r="H450" s="204"/>
      <c r="I450" s="204"/>
      <c r="J450" s="204"/>
      <c r="K450" s="287"/>
      <c r="L450" s="287"/>
      <c r="M450" s="287"/>
      <c r="N450" s="287"/>
    </row>
    <row r="451" spans="1:14" ht="12.75">
      <c r="A451" s="284"/>
      <c r="B451" s="284"/>
      <c r="C451" s="284"/>
      <c r="D451" s="284"/>
      <c r="E451" s="204"/>
      <c r="F451" s="204"/>
      <c r="G451" s="204"/>
      <c r="H451" s="204"/>
      <c r="I451" s="204"/>
      <c r="J451" s="204"/>
      <c r="K451" s="287"/>
      <c r="L451" s="287"/>
      <c r="M451" s="287"/>
      <c r="N451" s="287"/>
    </row>
    <row r="452" spans="1:14" ht="12.75">
      <c r="A452" s="284"/>
      <c r="B452" s="284"/>
      <c r="C452" s="284"/>
      <c r="D452" s="284"/>
      <c r="E452" s="204"/>
      <c r="F452" s="204"/>
      <c r="G452" s="204"/>
      <c r="H452" s="204"/>
      <c r="I452" s="204"/>
      <c r="J452" s="204"/>
      <c r="K452" s="287"/>
      <c r="L452" s="287"/>
      <c r="M452" s="287"/>
      <c r="N452" s="287"/>
    </row>
    <row r="453" spans="1:14" ht="12.75">
      <c r="A453" s="284"/>
      <c r="B453" s="284"/>
      <c r="C453" s="284"/>
      <c r="D453" s="284"/>
      <c r="E453" s="204"/>
      <c r="F453" s="204"/>
      <c r="G453" s="204"/>
      <c r="H453" s="204"/>
      <c r="I453" s="204"/>
      <c r="J453" s="204"/>
      <c r="K453" s="287"/>
      <c r="L453" s="287"/>
      <c r="M453" s="287"/>
      <c r="N453" s="287"/>
    </row>
    <row r="454" spans="1:14" ht="12.75">
      <c r="A454" s="284"/>
      <c r="B454" s="284"/>
      <c r="C454" s="284"/>
      <c r="D454" s="284"/>
      <c r="E454" s="204"/>
      <c r="F454" s="204"/>
      <c r="G454" s="204"/>
      <c r="H454" s="204"/>
      <c r="I454" s="204"/>
      <c r="J454" s="204"/>
      <c r="K454" s="287"/>
      <c r="L454" s="287"/>
      <c r="M454" s="287"/>
      <c r="N454" s="287"/>
    </row>
    <row r="455" spans="1:14" ht="12.75">
      <c r="A455" s="284"/>
      <c r="B455" s="284"/>
      <c r="C455" s="284"/>
      <c r="D455" s="284"/>
      <c r="E455" s="204"/>
      <c r="F455" s="204"/>
      <c r="G455" s="204"/>
      <c r="H455" s="204"/>
      <c r="I455" s="204"/>
      <c r="J455" s="204"/>
      <c r="K455" s="287"/>
      <c r="L455" s="287"/>
      <c r="M455" s="287"/>
      <c r="N455" s="287"/>
    </row>
    <row r="456" spans="1:14" ht="12.75">
      <c r="A456" s="284"/>
      <c r="B456" s="284"/>
      <c r="C456" s="284"/>
      <c r="D456" s="284"/>
      <c r="E456" s="204"/>
      <c r="F456" s="204"/>
      <c r="G456" s="204"/>
      <c r="H456" s="204"/>
      <c r="I456" s="204"/>
      <c r="J456" s="204"/>
      <c r="K456" s="287"/>
      <c r="L456" s="287"/>
      <c r="M456" s="287"/>
      <c r="N456" s="287"/>
    </row>
    <row r="457" spans="1:14" ht="12.75">
      <c r="A457" s="284"/>
      <c r="B457" s="284"/>
      <c r="C457" s="284"/>
      <c r="D457" s="284"/>
      <c r="E457" s="204"/>
      <c r="F457" s="204"/>
      <c r="G457" s="204"/>
      <c r="H457" s="204"/>
      <c r="I457" s="204"/>
      <c r="J457" s="204"/>
      <c r="K457" s="287"/>
      <c r="L457" s="287"/>
      <c r="M457" s="287"/>
      <c r="N457" s="287"/>
    </row>
    <row r="458" spans="1:14" ht="12.75">
      <c r="A458" s="284"/>
      <c r="B458" s="284"/>
      <c r="C458" s="284"/>
      <c r="D458" s="284"/>
      <c r="E458" s="204"/>
      <c r="F458" s="204"/>
      <c r="G458" s="204"/>
      <c r="H458" s="204"/>
      <c r="I458" s="204"/>
      <c r="J458" s="204"/>
      <c r="K458" s="287"/>
      <c r="L458" s="287"/>
      <c r="M458" s="287"/>
      <c r="N458" s="287"/>
    </row>
    <row r="459" spans="1:14" ht="12.75">
      <c r="A459" s="284"/>
      <c r="B459" s="284"/>
      <c r="C459" s="284"/>
      <c r="D459" s="284"/>
      <c r="E459" s="204"/>
      <c r="F459" s="204"/>
      <c r="G459" s="204"/>
      <c r="H459" s="204"/>
      <c r="I459" s="204"/>
      <c r="J459" s="204"/>
      <c r="K459" s="287"/>
      <c r="L459" s="287"/>
      <c r="M459" s="287"/>
      <c r="N459" s="287"/>
    </row>
    <row r="460" spans="1:14" ht="12.75">
      <c r="A460" s="284"/>
      <c r="B460" s="284"/>
      <c r="C460" s="284"/>
      <c r="D460" s="284"/>
      <c r="E460" s="204"/>
      <c r="F460" s="204"/>
      <c r="G460" s="204"/>
      <c r="H460" s="204"/>
      <c r="I460" s="204"/>
      <c r="J460" s="204"/>
      <c r="K460" s="287"/>
      <c r="L460" s="287"/>
      <c r="M460" s="287"/>
      <c r="N460" s="287"/>
    </row>
    <row r="461" spans="1:14" ht="12.75">
      <c r="A461" s="284"/>
      <c r="B461" s="284"/>
      <c r="C461" s="284"/>
      <c r="D461" s="284"/>
      <c r="E461" s="204"/>
      <c r="F461" s="204"/>
      <c r="G461" s="204"/>
      <c r="H461" s="204"/>
      <c r="I461" s="204"/>
      <c r="J461" s="204"/>
      <c r="K461" s="287"/>
      <c r="L461" s="287"/>
      <c r="M461" s="287"/>
      <c r="N461" s="287"/>
    </row>
    <row r="462" spans="1:14" ht="12.75">
      <c r="A462" s="284"/>
      <c r="B462" s="284"/>
      <c r="C462" s="284"/>
      <c r="D462" s="284"/>
      <c r="E462" s="204"/>
      <c r="F462" s="204"/>
      <c r="G462" s="204"/>
      <c r="H462" s="204"/>
      <c r="I462" s="204"/>
      <c r="J462" s="204"/>
      <c r="K462" s="287"/>
      <c r="L462" s="287"/>
      <c r="M462" s="287"/>
      <c r="N462" s="287"/>
    </row>
    <row r="463" spans="1:14" ht="12.75">
      <c r="A463" s="284"/>
      <c r="B463" s="284"/>
      <c r="C463" s="284"/>
      <c r="D463" s="284"/>
      <c r="E463" s="204"/>
      <c r="F463" s="204"/>
      <c r="G463" s="204"/>
      <c r="H463" s="204"/>
      <c r="I463" s="204"/>
      <c r="J463" s="204"/>
      <c r="K463" s="287"/>
      <c r="L463" s="287"/>
      <c r="M463" s="287"/>
      <c r="N463" s="287"/>
    </row>
    <row r="464" spans="1:14" ht="12.75">
      <c r="A464" s="284"/>
      <c r="B464" s="284"/>
      <c r="C464" s="284"/>
      <c r="D464" s="284"/>
      <c r="E464" s="204"/>
      <c r="F464" s="204"/>
      <c r="G464" s="204"/>
      <c r="H464" s="204"/>
      <c r="I464" s="204"/>
      <c r="J464" s="204"/>
      <c r="K464" s="287"/>
      <c r="L464" s="287"/>
      <c r="M464" s="287"/>
      <c r="N464" s="287"/>
    </row>
    <row r="465" spans="1:14" ht="12.75">
      <c r="A465" s="284"/>
      <c r="B465" s="284"/>
      <c r="C465" s="284"/>
      <c r="D465" s="284"/>
      <c r="E465" s="204"/>
      <c r="F465" s="204"/>
      <c r="G465" s="204"/>
      <c r="H465" s="204"/>
      <c r="I465" s="204"/>
      <c r="J465" s="204"/>
      <c r="K465" s="287"/>
      <c r="L465" s="287"/>
      <c r="M465" s="287"/>
      <c r="N465" s="287"/>
    </row>
    <row r="466" spans="1:14" ht="12.75">
      <c r="A466" s="284"/>
      <c r="B466" s="284"/>
      <c r="C466" s="284"/>
      <c r="D466" s="284"/>
      <c r="E466" s="204"/>
      <c r="F466" s="204"/>
      <c r="G466" s="204"/>
      <c r="H466" s="204"/>
      <c r="I466" s="204"/>
      <c r="J466" s="204"/>
      <c r="K466" s="287"/>
      <c r="L466" s="287"/>
      <c r="M466" s="287"/>
      <c r="N466" s="287"/>
    </row>
    <row r="467" spans="1:14" ht="12.75">
      <c r="A467" s="284"/>
      <c r="B467" s="284"/>
      <c r="C467" s="284"/>
      <c r="D467" s="284"/>
      <c r="E467" s="204"/>
      <c r="F467" s="204"/>
      <c r="G467" s="204"/>
      <c r="H467" s="204"/>
      <c r="I467" s="204"/>
      <c r="J467" s="204"/>
      <c r="K467" s="287"/>
      <c r="L467" s="287"/>
      <c r="M467" s="287"/>
      <c r="N467" s="287"/>
    </row>
    <row r="468" spans="1:14" ht="12.75">
      <c r="A468" s="284"/>
      <c r="B468" s="284"/>
      <c r="C468" s="284"/>
      <c r="D468" s="284"/>
      <c r="E468" s="204"/>
      <c r="F468" s="204"/>
      <c r="G468" s="204"/>
      <c r="H468" s="204"/>
      <c r="I468" s="204"/>
      <c r="J468" s="204"/>
      <c r="K468" s="287"/>
      <c r="L468" s="287"/>
      <c r="M468" s="287"/>
      <c r="N468" s="287"/>
    </row>
    <row r="469" spans="1:14" ht="12.75">
      <c r="A469" s="284"/>
      <c r="B469" s="284"/>
      <c r="C469" s="284"/>
      <c r="D469" s="284"/>
      <c r="E469" s="204"/>
      <c r="F469" s="204"/>
      <c r="G469" s="204"/>
      <c r="H469" s="204"/>
      <c r="I469" s="204"/>
      <c r="J469" s="204"/>
      <c r="K469" s="287"/>
      <c r="L469" s="287"/>
      <c r="M469" s="287"/>
      <c r="N469" s="287"/>
    </row>
    <row r="470" spans="1:14" ht="12.75">
      <c r="A470" s="284"/>
      <c r="B470" s="284"/>
      <c r="C470" s="284"/>
      <c r="D470" s="284"/>
      <c r="E470" s="204"/>
      <c r="F470" s="204"/>
      <c r="G470" s="204"/>
      <c r="H470" s="204"/>
      <c r="I470" s="204"/>
      <c r="J470" s="204"/>
      <c r="K470" s="287"/>
      <c r="L470" s="287"/>
      <c r="M470" s="287"/>
      <c r="N470" s="287"/>
    </row>
    <row r="471" spans="1:14" ht="12.75">
      <c r="A471" s="284"/>
      <c r="B471" s="284"/>
      <c r="C471" s="284"/>
      <c r="D471" s="284"/>
      <c r="E471" s="204"/>
      <c r="F471" s="204"/>
      <c r="G471" s="204"/>
      <c r="H471" s="204"/>
      <c r="I471" s="204"/>
      <c r="J471" s="204"/>
      <c r="K471" s="287"/>
      <c r="L471" s="287"/>
      <c r="M471" s="287"/>
      <c r="N471" s="287"/>
    </row>
    <row r="472" spans="1:14" ht="12.75">
      <c r="A472" s="284"/>
      <c r="B472" s="284"/>
      <c r="C472" s="284"/>
      <c r="D472" s="284"/>
      <c r="E472" s="204"/>
      <c r="F472" s="204"/>
      <c r="G472" s="204"/>
      <c r="H472" s="204"/>
      <c r="I472" s="204"/>
      <c r="J472" s="204"/>
      <c r="K472" s="287"/>
      <c r="L472" s="287"/>
      <c r="M472" s="287"/>
      <c r="N472" s="287"/>
    </row>
    <row r="473" spans="1:14" ht="12.75">
      <c r="A473" s="284"/>
      <c r="B473" s="284"/>
      <c r="C473" s="284"/>
      <c r="D473" s="284"/>
      <c r="E473" s="204"/>
      <c r="F473" s="204"/>
      <c r="G473" s="204"/>
      <c r="H473" s="204"/>
      <c r="I473" s="204"/>
      <c r="J473" s="204"/>
      <c r="K473" s="287"/>
      <c r="L473" s="287"/>
      <c r="M473" s="287"/>
      <c r="N473" s="287"/>
    </row>
    <row r="474" spans="1:14" ht="12.75">
      <c r="A474" s="284"/>
      <c r="B474" s="284"/>
      <c r="C474" s="284"/>
      <c r="D474" s="284"/>
      <c r="E474" s="204"/>
      <c r="F474" s="204"/>
      <c r="G474" s="204"/>
      <c r="H474" s="204"/>
      <c r="I474" s="204"/>
      <c r="J474" s="204"/>
      <c r="K474" s="287"/>
      <c r="L474" s="287"/>
      <c r="M474" s="287"/>
      <c r="N474" s="287"/>
    </row>
    <row r="475" spans="1:14" ht="12.75">
      <c r="A475" s="284"/>
      <c r="B475" s="284"/>
      <c r="C475" s="284"/>
      <c r="D475" s="284"/>
      <c r="E475" s="204"/>
      <c r="F475" s="204"/>
      <c r="G475" s="204"/>
      <c r="H475" s="204"/>
      <c r="I475" s="204"/>
      <c r="J475" s="204"/>
      <c r="K475" s="287"/>
      <c r="L475" s="287"/>
      <c r="M475" s="287"/>
      <c r="N475" s="287"/>
    </row>
    <row r="476" spans="1:14" ht="12.75">
      <c r="A476" s="284"/>
      <c r="B476" s="284"/>
      <c r="C476" s="284"/>
      <c r="D476" s="284"/>
      <c r="E476" s="204"/>
      <c r="F476" s="204"/>
      <c r="G476" s="204"/>
      <c r="H476" s="204"/>
      <c r="I476" s="204"/>
      <c r="J476" s="204"/>
      <c r="K476" s="287"/>
      <c r="L476" s="287"/>
      <c r="M476" s="287"/>
      <c r="N476" s="287"/>
    </row>
    <row r="477" spans="1:14" ht="12.75">
      <c r="A477" s="284"/>
      <c r="B477" s="284"/>
      <c r="C477" s="284"/>
      <c r="D477" s="284"/>
      <c r="E477" s="204"/>
      <c r="F477" s="204"/>
      <c r="G477" s="204"/>
      <c r="H477" s="204"/>
      <c r="I477" s="204"/>
      <c r="J477" s="204"/>
      <c r="K477" s="287"/>
      <c r="L477" s="287"/>
      <c r="M477" s="287"/>
      <c r="N477" s="287"/>
    </row>
    <row r="478" spans="1:14" ht="12.75">
      <c r="A478" s="284"/>
      <c r="B478" s="284"/>
      <c r="C478" s="284"/>
      <c r="D478" s="284"/>
      <c r="E478" s="204"/>
      <c r="F478" s="204"/>
      <c r="G478" s="204"/>
      <c r="H478" s="204"/>
      <c r="I478" s="204"/>
      <c r="J478" s="204"/>
      <c r="K478" s="287"/>
      <c r="L478" s="287"/>
      <c r="M478" s="287"/>
      <c r="N478" s="287"/>
    </row>
    <row r="479" spans="1:14" ht="12.75">
      <c r="A479" s="284"/>
      <c r="B479" s="284"/>
      <c r="C479" s="284"/>
      <c r="D479" s="284"/>
      <c r="E479" s="204"/>
      <c r="F479" s="204"/>
      <c r="G479" s="204"/>
      <c r="H479" s="204"/>
      <c r="I479" s="204"/>
      <c r="J479" s="204"/>
      <c r="K479" s="287"/>
      <c r="L479" s="287"/>
      <c r="M479" s="287"/>
      <c r="N479" s="287"/>
    </row>
    <row r="480" spans="1:14" ht="12.75">
      <c r="A480" s="284"/>
      <c r="B480" s="284"/>
      <c r="C480" s="284"/>
      <c r="D480" s="284"/>
      <c r="E480" s="204"/>
      <c r="F480" s="204"/>
      <c r="G480" s="204"/>
      <c r="H480" s="204"/>
      <c r="I480" s="204"/>
      <c r="J480" s="204"/>
      <c r="K480" s="287"/>
      <c r="L480" s="287"/>
      <c r="M480" s="287"/>
      <c r="N480" s="287"/>
    </row>
    <row r="481" spans="1:14" ht="12.75">
      <c r="A481" s="284"/>
      <c r="B481" s="284"/>
      <c r="C481" s="284"/>
      <c r="D481" s="284"/>
      <c r="E481" s="204"/>
      <c r="F481" s="204"/>
      <c r="G481" s="204"/>
      <c r="H481" s="204"/>
      <c r="I481" s="204"/>
      <c r="J481" s="204"/>
      <c r="K481" s="287"/>
      <c r="L481" s="287"/>
      <c r="M481" s="287"/>
      <c r="N481" s="287"/>
    </row>
    <row r="482" spans="1:14" ht="12.75">
      <c r="A482" s="284"/>
      <c r="B482" s="284"/>
      <c r="C482" s="284"/>
      <c r="D482" s="284"/>
      <c r="E482" s="204"/>
      <c r="F482" s="204"/>
      <c r="G482" s="204"/>
      <c r="H482" s="204"/>
      <c r="I482" s="204"/>
      <c r="J482" s="204"/>
      <c r="K482" s="287"/>
      <c r="L482" s="287"/>
      <c r="M482" s="287"/>
      <c r="N482" s="287"/>
    </row>
    <row r="483" spans="1:14" ht="12.75">
      <c r="A483" s="284"/>
      <c r="B483" s="284"/>
      <c r="C483" s="284"/>
      <c r="D483" s="284"/>
      <c r="E483" s="204"/>
      <c r="F483" s="204"/>
      <c r="G483" s="204"/>
      <c r="H483" s="204"/>
      <c r="I483" s="204"/>
      <c r="J483" s="204"/>
      <c r="K483" s="287"/>
      <c r="L483" s="287"/>
      <c r="M483" s="287"/>
      <c r="N483" s="287"/>
    </row>
    <row r="484" spans="1:14" ht="12.75">
      <c r="A484" s="284"/>
      <c r="B484" s="284"/>
      <c r="C484" s="284"/>
      <c r="D484" s="284"/>
      <c r="E484" s="204"/>
      <c r="F484" s="204"/>
      <c r="G484" s="204"/>
      <c r="H484" s="204"/>
      <c r="I484" s="204"/>
      <c r="J484" s="204"/>
      <c r="K484" s="287"/>
      <c r="L484" s="287"/>
      <c r="M484" s="287"/>
      <c r="N484" s="287"/>
    </row>
    <row r="485" spans="1:14" ht="12.75">
      <c r="A485" s="284"/>
      <c r="B485" s="284"/>
      <c r="C485" s="284"/>
      <c r="D485" s="284"/>
      <c r="E485" s="204"/>
      <c r="F485" s="204"/>
      <c r="G485" s="204"/>
      <c r="H485" s="204"/>
      <c r="I485" s="204"/>
      <c r="J485" s="204"/>
      <c r="K485" s="287"/>
      <c r="L485" s="287"/>
      <c r="M485" s="287"/>
      <c r="N485" s="287"/>
    </row>
    <row r="486" spans="1:14" ht="12.75">
      <c r="A486" s="284"/>
      <c r="B486" s="284"/>
      <c r="C486" s="284"/>
      <c r="D486" s="284"/>
      <c r="E486" s="204"/>
      <c r="F486" s="204"/>
      <c r="G486" s="204"/>
      <c r="H486" s="204"/>
      <c r="I486" s="204"/>
      <c r="J486" s="204"/>
      <c r="K486" s="287"/>
      <c r="L486" s="287"/>
      <c r="M486" s="287"/>
      <c r="N486" s="287"/>
    </row>
    <row r="487" spans="1:14" ht="12.75">
      <c r="A487" s="284"/>
      <c r="B487" s="284"/>
      <c r="C487" s="284"/>
      <c r="D487" s="284"/>
      <c r="E487" s="204"/>
      <c r="F487" s="204"/>
      <c r="G487" s="204"/>
      <c r="H487" s="204"/>
      <c r="I487" s="204"/>
      <c r="J487" s="204"/>
      <c r="K487" s="287"/>
      <c r="L487" s="287"/>
      <c r="M487" s="287"/>
      <c r="N487" s="287"/>
    </row>
    <row r="488" spans="1:14" ht="12.75">
      <c r="A488" s="284"/>
      <c r="B488" s="284"/>
      <c r="C488" s="284"/>
      <c r="D488" s="284"/>
      <c r="E488" s="204"/>
      <c r="F488" s="204"/>
      <c r="G488" s="204"/>
      <c r="H488" s="204"/>
      <c r="I488" s="204"/>
      <c r="J488" s="204"/>
      <c r="K488" s="287"/>
      <c r="L488" s="287"/>
      <c r="M488" s="287"/>
      <c r="N488" s="287"/>
    </row>
    <row r="489" spans="1:14" ht="12.75">
      <c r="A489" s="284"/>
      <c r="B489" s="284"/>
      <c r="C489" s="284"/>
      <c r="D489" s="284"/>
      <c r="E489" s="204"/>
      <c r="F489" s="204"/>
      <c r="G489" s="204"/>
      <c r="H489" s="204"/>
      <c r="I489" s="204"/>
      <c r="J489" s="204"/>
      <c r="K489" s="287"/>
      <c r="L489" s="287"/>
      <c r="M489" s="287"/>
      <c r="N489" s="287"/>
    </row>
    <row r="490" spans="1:14" ht="12.75">
      <c r="A490" s="284"/>
      <c r="B490" s="284"/>
      <c r="C490" s="284"/>
      <c r="D490" s="284"/>
      <c r="E490" s="204"/>
      <c r="F490" s="204"/>
      <c r="G490" s="204"/>
      <c r="H490" s="204"/>
      <c r="I490" s="204"/>
      <c r="J490" s="204"/>
      <c r="K490" s="287"/>
      <c r="L490" s="287"/>
      <c r="M490" s="287"/>
      <c r="N490" s="287"/>
    </row>
    <row r="491" spans="1:14" ht="12.75">
      <c r="A491" s="284"/>
      <c r="B491" s="284"/>
      <c r="C491" s="284"/>
      <c r="D491" s="284"/>
      <c r="E491" s="284"/>
      <c r="F491" s="284"/>
      <c r="G491" s="284"/>
      <c r="H491" s="284"/>
      <c r="I491" s="284"/>
      <c r="J491" s="284"/>
      <c r="K491" s="287"/>
      <c r="L491" s="287"/>
      <c r="M491" s="287"/>
      <c r="N491" s="287"/>
    </row>
    <row r="492" spans="1:14" ht="12.75">
      <c r="A492" s="284"/>
      <c r="B492" s="284"/>
      <c r="C492" s="284"/>
      <c r="D492" s="284"/>
      <c r="E492" s="284"/>
      <c r="F492" s="284"/>
      <c r="G492" s="284"/>
      <c r="H492" s="284"/>
      <c r="I492" s="284"/>
      <c r="J492" s="284"/>
      <c r="K492" s="287"/>
      <c r="L492" s="287"/>
      <c r="M492" s="287"/>
      <c r="N492" s="287"/>
    </row>
    <row r="493" spans="1:14" ht="12.75">
      <c r="A493" s="284"/>
      <c r="B493" s="284"/>
      <c r="C493" s="284"/>
      <c r="D493" s="284"/>
      <c r="E493" s="284"/>
      <c r="F493" s="284"/>
      <c r="G493" s="284"/>
      <c r="H493" s="284"/>
      <c r="I493" s="284"/>
      <c r="J493" s="284"/>
      <c r="K493" s="287"/>
      <c r="L493" s="287"/>
      <c r="M493" s="287"/>
      <c r="N493" s="287"/>
    </row>
    <row r="494" spans="1:14" ht="12.75">
      <c r="A494" s="284"/>
      <c r="B494" s="284"/>
      <c r="C494" s="284"/>
      <c r="D494" s="284"/>
      <c r="E494" s="284"/>
      <c r="F494" s="284"/>
      <c r="G494" s="284"/>
      <c r="H494" s="284"/>
      <c r="I494" s="284"/>
      <c r="J494" s="284"/>
      <c r="K494" s="287"/>
      <c r="L494" s="287"/>
      <c r="M494" s="287"/>
      <c r="N494" s="287"/>
    </row>
    <row r="495" spans="1:14" ht="12.75">
      <c r="A495" s="284"/>
      <c r="B495" s="284"/>
      <c r="C495" s="284"/>
      <c r="D495" s="284"/>
      <c r="E495" s="284"/>
      <c r="F495" s="284"/>
      <c r="G495" s="284"/>
      <c r="H495" s="284"/>
      <c r="I495" s="284"/>
      <c r="J495" s="284"/>
      <c r="K495" s="287"/>
      <c r="L495" s="287"/>
      <c r="M495" s="287"/>
      <c r="N495" s="287"/>
    </row>
    <row r="496" spans="1:14" ht="12.75">
      <c r="A496" s="284"/>
      <c r="B496" s="284"/>
      <c r="C496" s="284"/>
      <c r="D496" s="284"/>
      <c r="E496" s="284"/>
      <c r="F496" s="284"/>
      <c r="G496" s="284"/>
      <c r="H496" s="284"/>
      <c r="I496" s="284"/>
      <c r="J496" s="284"/>
      <c r="K496" s="287"/>
      <c r="L496" s="287"/>
      <c r="M496" s="287"/>
      <c r="N496" s="287"/>
    </row>
    <row r="497" spans="1:14" ht="12.75">
      <c r="A497" s="284"/>
      <c r="B497" s="284"/>
      <c r="C497" s="284"/>
      <c r="D497" s="284"/>
      <c r="E497" s="284"/>
      <c r="F497" s="284"/>
      <c r="G497" s="284"/>
      <c r="H497" s="284"/>
      <c r="I497" s="284"/>
      <c r="J497" s="284"/>
      <c r="K497" s="287"/>
      <c r="L497" s="287"/>
      <c r="M497" s="287"/>
      <c r="N497" s="287"/>
    </row>
    <row r="498" spans="1:14" ht="12.75">
      <c r="A498" s="284"/>
      <c r="B498" s="284"/>
      <c r="C498" s="284"/>
      <c r="D498" s="284"/>
      <c r="E498" s="284"/>
      <c r="F498" s="284"/>
      <c r="G498" s="284"/>
      <c r="H498" s="284"/>
      <c r="I498" s="284"/>
      <c r="J498" s="284"/>
      <c r="K498" s="287"/>
      <c r="L498" s="287"/>
      <c r="M498" s="287"/>
      <c r="N498" s="287"/>
    </row>
    <row r="499" spans="1:14" ht="12.75">
      <c r="A499" s="284"/>
      <c r="B499" s="284"/>
      <c r="C499" s="284"/>
      <c r="D499" s="284"/>
      <c r="E499" s="284"/>
      <c r="F499" s="284"/>
      <c r="G499" s="284"/>
      <c r="H499" s="284"/>
      <c r="I499" s="284"/>
      <c r="J499" s="284"/>
      <c r="K499" s="287"/>
      <c r="L499" s="287"/>
      <c r="M499" s="287"/>
      <c r="N499" s="287"/>
    </row>
    <row r="500" spans="1:14" ht="12.75">
      <c r="A500" s="284"/>
      <c r="B500" s="284"/>
      <c r="C500" s="284"/>
      <c r="D500" s="284"/>
      <c r="E500" s="284"/>
      <c r="F500" s="284"/>
      <c r="G500" s="284"/>
      <c r="H500" s="284"/>
      <c r="I500" s="284"/>
      <c r="J500" s="284"/>
      <c r="K500" s="287"/>
      <c r="L500" s="287"/>
      <c r="M500" s="287"/>
      <c r="N500" s="287"/>
    </row>
    <row r="501" spans="1:14" ht="12.75">
      <c r="A501" s="284"/>
      <c r="B501" s="284"/>
      <c r="C501" s="284"/>
      <c r="D501" s="284"/>
      <c r="E501" s="284"/>
      <c r="F501" s="284"/>
      <c r="G501" s="284"/>
      <c r="H501" s="284"/>
      <c r="I501" s="284"/>
      <c r="J501" s="284"/>
      <c r="K501" s="287"/>
      <c r="L501" s="287"/>
      <c r="M501" s="287"/>
      <c r="N501" s="287"/>
    </row>
    <row r="502" spans="1:14" ht="12.75">
      <c r="A502" s="284"/>
      <c r="B502" s="284"/>
      <c r="C502" s="284"/>
      <c r="D502" s="284"/>
      <c r="E502" s="284"/>
      <c r="F502" s="284"/>
      <c r="G502" s="284"/>
      <c r="H502" s="284"/>
      <c r="I502" s="284"/>
      <c r="J502" s="284"/>
      <c r="K502" s="287"/>
      <c r="L502" s="287"/>
      <c r="M502" s="287"/>
      <c r="N502" s="287"/>
    </row>
  </sheetData>
  <sheetProtection password="C3AC" sheet="1" objects="1" scenarios="1"/>
  <mergeCells count="42">
    <mergeCell ref="M1:W1"/>
    <mergeCell ref="A35:I35"/>
    <mergeCell ref="A36:I36"/>
    <mergeCell ref="A16:J16"/>
    <mergeCell ref="A28:D28"/>
    <mergeCell ref="E28:F28"/>
    <mergeCell ref="G28:H28"/>
    <mergeCell ref="I28:J28"/>
    <mergeCell ref="A33:I33"/>
    <mergeCell ref="A34:I34"/>
    <mergeCell ref="A26:D26"/>
    <mergeCell ref="E26:F26"/>
    <mergeCell ref="G26:H26"/>
    <mergeCell ref="I26:J26"/>
    <mergeCell ref="A27:D27"/>
    <mergeCell ref="E27:F27"/>
    <mergeCell ref="G27:H27"/>
    <mergeCell ref="I27:J27"/>
    <mergeCell ref="E24:F24"/>
    <mergeCell ref="G24:H24"/>
    <mergeCell ref="I24:J24"/>
    <mergeCell ref="E25:F25"/>
    <mergeCell ref="G25:H25"/>
    <mergeCell ref="I25:J25"/>
    <mergeCell ref="B13:J13"/>
    <mergeCell ref="A14:J14"/>
    <mergeCell ref="A17:A18"/>
    <mergeCell ref="B17:D17"/>
    <mergeCell ref="E17:G17"/>
    <mergeCell ref="H17:J17"/>
    <mergeCell ref="B12:J12"/>
    <mergeCell ref="A1:J1"/>
    <mergeCell ref="A2:J2"/>
    <mergeCell ref="B3:J3"/>
    <mergeCell ref="B4:J4"/>
    <mergeCell ref="B5:J5"/>
    <mergeCell ref="B6:J6"/>
    <mergeCell ref="B7:J7"/>
    <mergeCell ref="B8:J8"/>
    <mergeCell ref="B9:J9"/>
    <mergeCell ref="B10:J10"/>
    <mergeCell ref="B11:J11"/>
  </mergeCells>
  <printOptions/>
  <pageMargins left="0.7" right="0.7" top="0.75" bottom="0.75" header="0.3" footer="0.3"/>
  <pageSetup fitToHeight="0" fitToWidth="1" horizontalDpi="600" verticalDpi="600" orientation="landscape" scale="61"/>
  <headerFooter>
    <oddFooter>&amp;C&amp;G</oddFooter>
  </headerFooter>
  <rowBreaks count="1" manualBreakCount="1">
    <brk id="29" max="16383" man="1"/>
  </rowBreaks>
  <colBreaks count="1" manualBreakCount="1">
    <brk id="10" max="16383" man="1"/>
  </colBreaks>
  <drawing r:id="rId1"/>
  <legacyDrawingHF r:id="rId2"/>
</worksheet>
</file>

<file path=xl/worksheets/sheet12.xml><?xml version="1.0" encoding="utf-8"?>
<worksheet xmlns="http://schemas.openxmlformats.org/spreadsheetml/2006/main" xmlns:r="http://schemas.openxmlformats.org/officeDocument/2006/relationships">
  <sheetPr codeName="Sheet8"/>
  <dimension ref="B3:N75"/>
  <sheetViews>
    <sheetView workbookViewId="0" topLeftCell="E45">
      <selection activeCell="I62" sqref="I62"/>
    </sheetView>
  </sheetViews>
  <sheetFormatPr defaultColWidth="9.140625" defaultRowHeight="12.75"/>
  <cols>
    <col min="2" max="2" width="11.421875" style="0" bestFit="1" customWidth="1"/>
    <col min="4" max="4" width="15.28125" style="0" bestFit="1" customWidth="1"/>
    <col min="6" max="6" width="10.8515625" style="0" customWidth="1"/>
    <col min="8" max="8" width="20.00390625" style="0" bestFit="1" customWidth="1"/>
    <col min="10" max="10" width="17.8515625" style="0" customWidth="1"/>
    <col min="12" max="12" width="20.00390625" style="0" bestFit="1" customWidth="1"/>
  </cols>
  <sheetData>
    <row r="3" spans="2:6" ht="12.75">
      <c r="B3" s="4" t="s">
        <v>41</v>
      </c>
      <c r="D3" s="4" t="s">
        <v>47</v>
      </c>
      <c r="F3" s="3" t="s">
        <v>48</v>
      </c>
    </row>
    <row r="4" spans="2:6" ht="12.75">
      <c r="B4" s="5">
        <v>9</v>
      </c>
      <c r="D4" s="5">
        <v>0</v>
      </c>
      <c r="F4" s="1">
        <v>1</v>
      </c>
    </row>
    <row r="5" spans="2:6" ht="12.75">
      <c r="B5" s="5">
        <v>9.5</v>
      </c>
      <c r="D5" s="5">
        <v>1</v>
      </c>
      <c r="F5" s="1">
        <v>2</v>
      </c>
    </row>
    <row r="6" spans="2:6" ht="12.75">
      <c r="B6" s="5">
        <v>10</v>
      </c>
      <c r="D6" s="5">
        <v>2</v>
      </c>
      <c r="F6" s="1">
        <v>3</v>
      </c>
    </row>
    <row r="7" spans="2:6" ht="12.75">
      <c r="B7" s="5">
        <v>10.5</v>
      </c>
      <c r="D7" s="5">
        <v>3</v>
      </c>
      <c r="F7" s="1">
        <v>4</v>
      </c>
    </row>
    <row r="8" spans="2:6" ht="12.75">
      <c r="B8" s="5">
        <v>11</v>
      </c>
      <c r="D8" s="5">
        <v>4</v>
      </c>
      <c r="F8" s="1">
        <v>5</v>
      </c>
    </row>
    <row r="9" spans="2:6" ht="12.75">
      <c r="B9" s="5">
        <v>11.5</v>
      </c>
      <c r="D9" s="5">
        <v>5</v>
      </c>
      <c r="F9" s="1">
        <v>6</v>
      </c>
    </row>
    <row r="10" spans="2:6" ht="12.75">
      <c r="B10" s="5">
        <v>12</v>
      </c>
      <c r="D10" s="5">
        <v>6</v>
      </c>
      <c r="F10" s="1">
        <v>7</v>
      </c>
    </row>
    <row r="11" ht="12.75">
      <c r="D11" s="5">
        <v>7</v>
      </c>
    </row>
    <row r="12" ht="12.75">
      <c r="D12" s="5">
        <v>8</v>
      </c>
    </row>
    <row r="15" spans="8:12" ht="12.75">
      <c r="H15" s="3" t="s">
        <v>56</v>
      </c>
      <c r="J15" s="3" t="s">
        <v>58</v>
      </c>
      <c r="L15" s="3" t="s">
        <v>63</v>
      </c>
    </row>
    <row r="16" spans="4:12" ht="12.75">
      <c r="D16" s="3" t="s">
        <v>40</v>
      </c>
      <c r="F16" s="3" t="s">
        <v>53</v>
      </c>
      <c r="H16" s="3" t="s">
        <v>57</v>
      </c>
      <c r="J16" s="3" t="s">
        <v>59</v>
      </c>
      <c r="L16" s="18" t="s">
        <v>64</v>
      </c>
    </row>
    <row r="17" spans="4:12" ht="12.75">
      <c r="D17" s="5" t="s">
        <v>49</v>
      </c>
      <c r="F17" s="5" t="s">
        <v>54</v>
      </c>
      <c r="H17" s="5" t="s">
        <v>54</v>
      </c>
      <c r="J17" s="5" t="s">
        <v>54</v>
      </c>
      <c r="L17" s="18" t="s">
        <v>65</v>
      </c>
    </row>
    <row r="18" spans="4:10" ht="12.75">
      <c r="D18" s="5" t="s">
        <v>50</v>
      </c>
      <c r="F18" s="5" t="s">
        <v>55</v>
      </c>
      <c r="H18" s="5" t="s">
        <v>55</v>
      </c>
      <c r="J18" s="5" t="s">
        <v>61</v>
      </c>
    </row>
    <row r="19" spans="4:10" ht="12.75">
      <c r="D19" s="18" t="s">
        <v>51</v>
      </c>
      <c r="J19" s="5" t="s">
        <v>62</v>
      </c>
    </row>
    <row r="20" ht="12.75">
      <c r="D20" s="5" t="s">
        <v>52</v>
      </c>
    </row>
    <row r="22" spans="6:10" ht="12.75">
      <c r="F22" s="3" t="s">
        <v>42</v>
      </c>
      <c r="H22" s="3" t="s">
        <v>43</v>
      </c>
      <c r="J22" s="3" t="s">
        <v>60</v>
      </c>
    </row>
    <row r="23" spans="6:10" ht="12.75">
      <c r="F23" s="5" t="s">
        <v>54</v>
      </c>
      <c r="H23" s="5" t="s">
        <v>54</v>
      </c>
      <c r="J23" s="5" t="s">
        <v>54</v>
      </c>
    </row>
    <row r="24" spans="6:10" ht="12.75">
      <c r="F24" s="5" t="s">
        <v>55</v>
      </c>
      <c r="H24" s="5" t="s">
        <v>55</v>
      </c>
      <c r="J24" s="5" t="s">
        <v>55</v>
      </c>
    </row>
    <row r="28" spans="4:12" ht="12.75">
      <c r="D28" s="18" t="s">
        <v>68</v>
      </c>
      <c r="F28" s="18" t="s">
        <v>72</v>
      </c>
      <c r="H28" s="18" t="s">
        <v>73</v>
      </c>
      <c r="J28" s="18" t="s">
        <v>74</v>
      </c>
      <c r="L28" s="3" t="s">
        <v>78</v>
      </c>
    </row>
    <row r="29" spans="4:12" ht="12.75">
      <c r="D29" s="18" t="s">
        <v>69</v>
      </c>
      <c r="F29" s="1">
        <v>0</v>
      </c>
      <c r="H29" s="1">
        <v>0</v>
      </c>
      <c r="J29" s="18" t="s">
        <v>54</v>
      </c>
      <c r="L29" s="18" t="s">
        <v>64</v>
      </c>
    </row>
    <row r="30" spans="4:12" ht="12.75">
      <c r="D30" s="18" t="s">
        <v>70</v>
      </c>
      <c r="F30" s="1">
        <v>1</v>
      </c>
      <c r="H30" s="1">
        <v>1</v>
      </c>
      <c r="J30" s="18" t="s">
        <v>55</v>
      </c>
      <c r="L30" s="18" t="s">
        <v>65</v>
      </c>
    </row>
    <row r="31" spans="4:8" ht="12.75">
      <c r="D31" s="18" t="s">
        <v>71</v>
      </c>
      <c r="F31" s="1">
        <v>2</v>
      </c>
      <c r="H31" s="1">
        <v>2</v>
      </c>
    </row>
    <row r="32" spans="6:8" ht="12.75">
      <c r="F32" s="1">
        <v>3</v>
      </c>
      <c r="H32" s="1">
        <v>3</v>
      </c>
    </row>
    <row r="33" spans="6:8" ht="12.75">
      <c r="F33" s="1">
        <v>4</v>
      </c>
      <c r="H33" s="1">
        <v>4</v>
      </c>
    </row>
    <row r="36" spans="4:12" ht="12.75">
      <c r="D36" s="3" t="s">
        <v>85</v>
      </c>
      <c r="F36" s="3" t="s">
        <v>88</v>
      </c>
      <c r="H36" s="3" t="s">
        <v>92</v>
      </c>
      <c r="J36" s="3" t="s">
        <v>99</v>
      </c>
      <c r="L36" s="3" t="s">
        <v>102</v>
      </c>
    </row>
    <row r="37" spans="4:12" ht="12.75">
      <c r="D37" s="1">
        <v>10</v>
      </c>
      <c r="F37" s="18" t="s">
        <v>86</v>
      </c>
      <c r="H37" s="18" t="s">
        <v>93</v>
      </c>
      <c r="J37" s="5">
        <v>0</v>
      </c>
      <c r="L37" s="1">
        <v>0</v>
      </c>
    </row>
    <row r="38" spans="4:12" ht="12.75">
      <c r="D38" s="1">
        <v>20</v>
      </c>
      <c r="F38" s="18" t="s">
        <v>87</v>
      </c>
      <c r="H38" s="50" t="s">
        <v>94</v>
      </c>
      <c r="J38" s="5">
        <v>1</v>
      </c>
      <c r="L38" s="1">
        <v>1</v>
      </c>
    </row>
    <row r="39" spans="4:12" ht="12.75">
      <c r="D39" s="1">
        <v>30</v>
      </c>
      <c r="F39" s="1"/>
      <c r="H39" s="51" t="s">
        <v>95</v>
      </c>
      <c r="J39" s="5">
        <v>2</v>
      </c>
      <c r="L39" s="1">
        <v>2</v>
      </c>
    </row>
    <row r="40" spans="4:10" ht="12.75">
      <c r="D40" s="1">
        <v>40</v>
      </c>
      <c r="F40" s="1"/>
      <c r="H40" s="51" t="s">
        <v>96</v>
      </c>
      <c r="J40" s="5">
        <v>3</v>
      </c>
    </row>
    <row r="41" spans="4:10" ht="12.75">
      <c r="D41" s="1">
        <v>50</v>
      </c>
      <c r="F41" s="1"/>
      <c r="H41" s="51" t="s">
        <v>97</v>
      </c>
      <c r="J41" s="5">
        <v>4</v>
      </c>
    </row>
    <row r="42" spans="4:10" ht="12.75">
      <c r="D42" s="1">
        <v>60</v>
      </c>
      <c r="F42" s="1"/>
      <c r="J42" s="5">
        <v>5</v>
      </c>
    </row>
    <row r="43" spans="4:10" ht="12.75">
      <c r="D43" s="1">
        <v>70</v>
      </c>
      <c r="F43" s="1"/>
      <c r="J43" s="5">
        <v>6</v>
      </c>
    </row>
    <row r="44" spans="4:10" ht="12.75">
      <c r="D44" s="1">
        <v>80</v>
      </c>
      <c r="F44" s="1"/>
      <c r="J44" s="5">
        <v>7</v>
      </c>
    </row>
    <row r="45" spans="4:10" ht="12.75">
      <c r="D45" s="1">
        <v>90</v>
      </c>
      <c r="F45" s="1"/>
      <c r="J45" s="5">
        <v>8</v>
      </c>
    </row>
    <row r="46" spans="4:10" ht="12.75">
      <c r="D46" s="1">
        <v>100</v>
      </c>
      <c r="J46" s="18">
        <v>9</v>
      </c>
    </row>
    <row r="47" ht="12.75">
      <c r="J47" s="18">
        <v>10</v>
      </c>
    </row>
    <row r="51" ht="12.75">
      <c r="D51" s="53" t="s">
        <v>125</v>
      </c>
    </row>
    <row r="54" spans="4:14" ht="12.75">
      <c r="D54" s="3" t="s">
        <v>126</v>
      </c>
      <c r="F54" s="3" t="s">
        <v>129</v>
      </c>
      <c r="H54" s="3" t="s">
        <v>130</v>
      </c>
      <c r="J54" s="3" t="s">
        <v>146</v>
      </c>
      <c r="L54" s="3" t="s">
        <v>154</v>
      </c>
      <c r="N54" s="4" t="s">
        <v>250</v>
      </c>
    </row>
    <row r="55" spans="4:14" ht="12.75">
      <c r="D55" s="18" t="s">
        <v>128</v>
      </c>
      <c r="F55" s="18" t="s">
        <v>54</v>
      </c>
      <c r="H55" s="5" t="s">
        <v>54</v>
      </c>
      <c r="J55" s="18" t="s">
        <v>131</v>
      </c>
      <c r="L55" s="1">
        <v>2</v>
      </c>
      <c r="N55" t="s">
        <v>248</v>
      </c>
    </row>
    <row r="56" spans="4:14" ht="12.75">
      <c r="D56" s="18" t="s">
        <v>127</v>
      </c>
      <c r="F56" s="1">
        <v>10</v>
      </c>
      <c r="H56" s="5" t="s">
        <v>55</v>
      </c>
      <c r="J56" s="18" t="s">
        <v>142</v>
      </c>
      <c r="L56" s="1">
        <v>5</v>
      </c>
      <c r="N56" t="s">
        <v>249</v>
      </c>
    </row>
    <row r="57" spans="4:12" ht="12.75">
      <c r="D57" s="18" t="s">
        <v>98</v>
      </c>
      <c r="F57" s="1">
        <v>15</v>
      </c>
      <c r="J57" s="17" t="s">
        <v>143</v>
      </c>
      <c r="L57" s="1">
        <v>10</v>
      </c>
    </row>
    <row r="58" spans="4:12" ht="12.75">
      <c r="D58" s="18" t="s">
        <v>101</v>
      </c>
      <c r="F58" s="1">
        <v>20</v>
      </c>
      <c r="J58" s="18" t="s">
        <v>144</v>
      </c>
      <c r="L58" s="1">
        <v>15</v>
      </c>
    </row>
    <row r="59" spans="4:12" ht="12.75">
      <c r="D59" s="18" t="s">
        <v>141</v>
      </c>
      <c r="F59" s="1">
        <v>30</v>
      </c>
      <c r="J59" s="18" t="s">
        <v>145</v>
      </c>
      <c r="L59" s="1">
        <v>20</v>
      </c>
    </row>
    <row r="60" spans="6:12" ht="12.75">
      <c r="F60" s="1">
        <v>40</v>
      </c>
      <c r="L60" s="1">
        <v>25</v>
      </c>
    </row>
    <row r="61" spans="6:12" ht="12.75">
      <c r="F61" s="1">
        <v>50</v>
      </c>
      <c r="L61" s="18" t="s">
        <v>155</v>
      </c>
    </row>
    <row r="62" ht="12.75">
      <c r="F62" s="1">
        <v>60</v>
      </c>
    </row>
    <row r="63" ht="12.75">
      <c r="F63" s="1">
        <v>70</v>
      </c>
    </row>
    <row r="64" ht="12.75">
      <c r="F64" s="1">
        <v>80</v>
      </c>
    </row>
    <row r="65" ht="12.75">
      <c r="F65" s="1">
        <v>90</v>
      </c>
    </row>
    <row r="66" ht="12.75">
      <c r="F66" s="1">
        <v>100</v>
      </c>
    </row>
    <row r="70" spans="4:12" ht="12.75">
      <c r="D70" s="3" t="s">
        <v>261</v>
      </c>
      <c r="F70" s="3" t="s">
        <v>343</v>
      </c>
      <c r="H70" s="3" t="s">
        <v>344</v>
      </c>
      <c r="J70" s="3" t="s">
        <v>349</v>
      </c>
      <c r="L70" s="3" t="s">
        <v>350</v>
      </c>
    </row>
    <row r="71" spans="4:12" ht="12.75">
      <c r="D71" s="1">
        <v>0</v>
      </c>
      <c r="F71" s="18" t="s">
        <v>69</v>
      </c>
      <c r="H71" s="17" t="s">
        <v>260</v>
      </c>
      <c r="J71" s="1">
        <v>0</v>
      </c>
      <c r="L71" s="17" t="s">
        <v>351</v>
      </c>
    </row>
    <row r="72" spans="4:12" ht="12.75">
      <c r="D72" s="1">
        <v>1</v>
      </c>
      <c r="F72" s="18" t="s">
        <v>312</v>
      </c>
      <c r="H72" s="17" t="s">
        <v>345</v>
      </c>
      <c r="J72" s="1">
        <v>1</v>
      </c>
      <c r="L72" s="17" t="s">
        <v>260</v>
      </c>
    </row>
    <row r="73" spans="4:12" ht="12.75">
      <c r="D73" s="1">
        <v>2</v>
      </c>
      <c r="F73" s="18" t="s">
        <v>70</v>
      </c>
      <c r="H73" s="17" t="s">
        <v>346</v>
      </c>
      <c r="J73" s="1">
        <v>2</v>
      </c>
      <c r="L73" s="17" t="s">
        <v>345</v>
      </c>
    </row>
    <row r="74" spans="4:12" ht="12.75">
      <c r="D74" s="1">
        <v>3</v>
      </c>
      <c r="F74" s="18" t="s">
        <v>71</v>
      </c>
      <c r="H74" s="17" t="s">
        <v>347</v>
      </c>
      <c r="L74" s="17" t="s">
        <v>346</v>
      </c>
    </row>
    <row r="75" spans="4:12" ht="12.75">
      <c r="D75" s="1">
        <v>4</v>
      </c>
      <c r="L75" s="17" t="s">
        <v>347</v>
      </c>
    </row>
  </sheetData>
  <sheetProtection password="C3AC"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10"/>
  <dimension ref="A1:AL307"/>
  <sheetViews>
    <sheetView workbookViewId="0" topLeftCell="A1">
      <selection activeCell="A3" sqref="A3"/>
    </sheetView>
  </sheetViews>
  <sheetFormatPr defaultColWidth="9.140625" defaultRowHeight="12.75"/>
  <cols>
    <col min="1" max="1" width="28.28125" style="116" customWidth="1"/>
    <col min="2" max="2" width="14.57421875" style="124" customWidth="1"/>
    <col min="3" max="3" width="29.00390625" style="124" customWidth="1"/>
    <col min="4" max="4" width="26.7109375" style="124" customWidth="1"/>
    <col min="5" max="5" width="13.28125" style="124" hidden="1" customWidth="1"/>
    <col min="6" max="6" width="34.8515625" style="256" customWidth="1"/>
    <col min="7" max="8" width="15.7109375" style="124" hidden="1" customWidth="1"/>
    <col min="9" max="9" width="0.13671875" style="116" customWidth="1"/>
    <col min="10" max="16384" width="9.140625" style="116" customWidth="1"/>
  </cols>
  <sheetData>
    <row r="1" spans="1:22" ht="26.25" customHeight="1" thickBot="1">
      <c r="A1" s="493" t="s">
        <v>477</v>
      </c>
      <c r="B1" s="493"/>
      <c r="C1" s="493"/>
      <c r="D1" s="493"/>
      <c r="E1" s="493"/>
      <c r="F1" s="493"/>
      <c r="G1" s="493"/>
      <c r="H1" s="494"/>
      <c r="I1" s="445"/>
      <c r="J1" s="138"/>
      <c r="K1" s="514" t="s">
        <v>700</v>
      </c>
      <c r="L1" s="514"/>
      <c r="M1" s="514"/>
      <c r="N1" s="514"/>
      <c r="O1" s="514"/>
      <c r="P1" s="514"/>
      <c r="Q1" s="514"/>
      <c r="R1" s="514"/>
      <c r="S1" s="514"/>
      <c r="T1" s="514"/>
      <c r="U1" s="514"/>
      <c r="V1" s="514"/>
    </row>
    <row r="2" spans="1:22" ht="25.5" customHeight="1" thickTop="1">
      <c r="A2" s="495" t="s">
        <v>0</v>
      </c>
      <c r="B2" s="496"/>
      <c r="C2" s="496"/>
      <c r="D2" s="496"/>
      <c r="E2" s="496"/>
      <c r="F2" s="496"/>
      <c r="G2" s="496"/>
      <c r="H2" s="496"/>
      <c r="I2" s="445"/>
      <c r="J2" s="138"/>
      <c r="K2" s="308"/>
      <c r="L2" s="309"/>
      <c r="M2" s="309"/>
      <c r="N2" s="309"/>
      <c r="O2" s="309"/>
      <c r="P2" s="309"/>
      <c r="Q2" s="309"/>
      <c r="R2" s="309"/>
      <c r="S2" s="309"/>
      <c r="T2" s="309"/>
      <c r="U2" s="309"/>
      <c r="V2" s="310"/>
    </row>
    <row r="3" spans="1:22" ht="12.75">
      <c r="A3" s="433" t="s">
        <v>414</v>
      </c>
      <c r="B3" s="515" t="s">
        <v>458</v>
      </c>
      <c r="C3" s="516"/>
      <c r="D3" s="433" t="s">
        <v>418</v>
      </c>
      <c r="E3" s="117"/>
      <c r="F3" s="428" t="s">
        <v>441</v>
      </c>
      <c r="G3" s="117"/>
      <c r="H3" s="117"/>
      <c r="I3" s="445"/>
      <c r="J3" s="138"/>
      <c r="K3" s="311"/>
      <c r="L3" s="312"/>
      <c r="M3" s="312"/>
      <c r="N3" s="312"/>
      <c r="O3" s="312"/>
      <c r="P3" s="312"/>
      <c r="Q3" s="312"/>
      <c r="R3" s="312"/>
      <c r="S3" s="312"/>
      <c r="T3" s="312"/>
      <c r="U3" s="312"/>
      <c r="V3" s="313"/>
    </row>
    <row r="4" spans="1:22" ht="12.75">
      <c r="A4" s="433" t="s">
        <v>415</v>
      </c>
      <c r="B4" s="515" t="s">
        <v>459</v>
      </c>
      <c r="C4" s="516"/>
      <c r="D4" s="433" t="s">
        <v>419</v>
      </c>
      <c r="E4" s="117"/>
      <c r="F4" s="257">
        <v>1234567891</v>
      </c>
      <c r="G4" s="117"/>
      <c r="H4" s="117"/>
      <c r="I4" s="445"/>
      <c r="J4" s="138"/>
      <c r="K4" s="314"/>
      <c r="L4" s="315"/>
      <c r="M4" s="315"/>
      <c r="N4" s="312"/>
      <c r="O4" s="312"/>
      <c r="P4" s="312"/>
      <c r="Q4" s="312"/>
      <c r="R4" s="312"/>
      <c r="S4" s="312"/>
      <c r="T4" s="312"/>
      <c r="U4" s="312"/>
      <c r="V4" s="313"/>
    </row>
    <row r="5" spans="1:22" ht="12.75">
      <c r="A5" s="448" t="s">
        <v>417</v>
      </c>
      <c r="B5" s="515" t="s">
        <v>453</v>
      </c>
      <c r="C5" s="516"/>
      <c r="D5" s="434" t="s">
        <v>3</v>
      </c>
      <c r="E5" s="117"/>
      <c r="F5" s="258">
        <v>40675</v>
      </c>
      <c r="G5" s="117"/>
      <c r="H5" s="117"/>
      <c r="I5" s="445"/>
      <c r="J5" s="138"/>
      <c r="K5" s="314"/>
      <c r="L5" s="315"/>
      <c r="M5" s="315"/>
      <c r="N5" s="312"/>
      <c r="O5" s="312"/>
      <c r="P5" s="312"/>
      <c r="Q5" s="312"/>
      <c r="R5" s="312"/>
      <c r="S5" s="312"/>
      <c r="T5" s="312"/>
      <c r="U5" s="312"/>
      <c r="V5" s="313"/>
    </row>
    <row r="6" spans="1:22" ht="12.75">
      <c r="A6" s="448" t="s">
        <v>1</v>
      </c>
      <c r="B6" s="515" t="s">
        <v>451</v>
      </c>
      <c r="C6" s="516"/>
      <c r="D6" s="436" t="s">
        <v>12</v>
      </c>
      <c r="E6" s="117"/>
      <c r="F6" s="449">
        <v>2011</v>
      </c>
      <c r="G6" s="117"/>
      <c r="H6" s="117"/>
      <c r="I6" s="445"/>
      <c r="J6" s="138"/>
      <c r="K6" s="314"/>
      <c r="L6" s="315"/>
      <c r="M6" s="315"/>
      <c r="N6" s="312"/>
      <c r="O6" s="312"/>
      <c r="P6" s="312"/>
      <c r="Q6" s="312"/>
      <c r="R6" s="312"/>
      <c r="S6" s="312"/>
      <c r="T6" s="312"/>
      <c r="U6" s="312"/>
      <c r="V6" s="313"/>
    </row>
    <row r="7" spans="1:22" ht="12.75">
      <c r="A7" s="448" t="s">
        <v>416</v>
      </c>
      <c r="B7" s="515" t="s">
        <v>452</v>
      </c>
      <c r="C7" s="516"/>
      <c r="D7" s="123" t="s">
        <v>632</v>
      </c>
      <c r="E7" s="117"/>
      <c r="F7" s="259"/>
      <c r="G7" s="239"/>
      <c r="H7" s="239"/>
      <c r="I7" s="445"/>
      <c r="J7" s="138"/>
      <c r="K7" s="314"/>
      <c r="L7" s="315"/>
      <c r="M7" s="315"/>
      <c r="N7" s="312"/>
      <c r="O7" s="312"/>
      <c r="P7" s="312"/>
      <c r="Q7" s="312"/>
      <c r="R7" s="312"/>
      <c r="S7" s="312"/>
      <c r="T7" s="312"/>
      <c r="U7" s="312"/>
      <c r="V7" s="313"/>
    </row>
    <row r="8" spans="1:22" ht="12.75" hidden="1">
      <c r="A8" s="450"/>
      <c r="B8" s="451"/>
      <c r="C8" s="117"/>
      <c r="D8" s="436"/>
      <c r="E8" s="117"/>
      <c r="F8" s="259"/>
      <c r="G8" s="239"/>
      <c r="H8" s="239"/>
      <c r="I8" s="445"/>
      <c r="J8" s="138"/>
      <c r="K8" s="314"/>
      <c r="L8" s="315"/>
      <c r="M8" s="315"/>
      <c r="N8" s="312"/>
      <c r="O8" s="312"/>
      <c r="P8" s="312"/>
      <c r="Q8" s="312"/>
      <c r="R8" s="312"/>
      <c r="S8" s="312"/>
      <c r="T8" s="312"/>
      <c r="U8" s="312"/>
      <c r="V8" s="313"/>
    </row>
    <row r="9" spans="1:22" ht="12.75" hidden="1">
      <c r="A9" s="450"/>
      <c r="B9" s="451"/>
      <c r="C9" s="118"/>
      <c r="D9" s="229"/>
      <c r="E9" s="118"/>
      <c r="F9" s="260"/>
      <c r="G9" s="240"/>
      <c r="H9" s="240"/>
      <c r="I9" s="445"/>
      <c r="J9" s="138"/>
      <c r="K9" s="314"/>
      <c r="L9" s="315"/>
      <c r="M9" s="315"/>
      <c r="N9" s="312"/>
      <c r="O9" s="312"/>
      <c r="P9" s="312"/>
      <c r="Q9" s="312"/>
      <c r="R9" s="312"/>
      <c r="S9" s="312"/>
      <c r="T9" s="312"/>
      <c r="U9" s="312"/>
      <c r="V9" s="313"/>
    </row>
    <row r="10" spans="1:22" ht="12.75" hidden="1">
      <c r="A10" s="450"/>
      <c r="B10" s="451"/>
      <c r="C10" s="119"/>
      <c r="D10" s="230"/>
      <c r="E10" s="119"/>
      <c r="F10" s="261"/>
      <c r="G10" s="241"/>
      <c r="H10" s="241"/>
      <c r="I10" s="445"/>
      <c r="J10" s="138"/>
      <c r="K10" s="314"/>
      <c r="L10" s="315"/>
      <c r="M10" s="315"/>
      <c r="N10" s="312"/>
      <c r="O10" s="312"/>
      <c r="P10" s="312"/>
      <c r="Q10" s="312"/>
      <c r="R10" s="312"/>
      <c r="S10" s="312"/>
      <c r="T10" s="312"/>
      <c r="U10" s="312"/>
      <c r="V10" s="313"/>
    </row>
    <row r="11" spans="1:22" ht="12.75">
      <c r="A11" s="433" t="s">
        <v>478</v>
      </c>
      <c r="B11" s="519">
        <v>1</v>
      </c>
      <c r="C11" s="520"/>
      <c r="D11" s="231" t="s">
        <v>633</v>
      </c>
      <c r="E11" s="120"/>
      <c r="F11" s="262"/>
      <c r="G11" s="242"/>
      <c r="H11" s="242"/>
      <c r="I11" s="445"/>
      <c r="J11" s="138"/>
      <c r="K11" s="314"/>
      <c r="L11" s="315"/>
      <c r="M11" s="315"/>
      <c r="N11" s="312"/>
      <c r="O11" s="312"/>
      <c r="P11" s="312"/>
      <c r="Q11" s="312"/>
      <c r="R11" s="312"/>
      <c r="S11" s="312"/>
      <c r="T11" s="312"/>
      <c r="U11" s="312"/>
      <c r="V11" s="313"/>
    </row>
    <row r="12" spans="1:22" ht="13.5" thickBot="1">
      <c r="A12" s="121" t="s">
        <v>479</v>
      </c>
      <c r="B12" s="517">
        <v>1</v>
      </c>
      <c r="C12" s="518"/>
      <c r="D12" s="232"/>
      <c r="E12" s="122"/>
      <c r="F12" s="263"/>
      <c r="G12" s="122"/>
      <c r="H12" s="122"/>
      <c r="I12" s="445"/>
      <c r="J12" s="138"/>
      <c r="K12" s="314"/>
      <c r="L12" s="315"/>
      <c r="M12" s="315"/>
      <c r="N12" s="312"/>
      <c r="O12" s="312"/>
      <c r="P12" s="312"/>
      <c r="Q12" s="312"/>
      <c r="R12" s="312"/>
      <c r="S12" s="312"/>
      <c r="T12" s="312"/>
      <c r="U12" s="312"/>
      <c r="V12" s="313"/>
    </row>
    <row r="13" spans="1:22" ht="40.5" customHeight="1" thickBot="1">
      <c r="A13" s="513"/>
      <c r="B13" s="512"/>
      <c r="C13" s="512"/>
      <c r="D13" s="512"/>
      <c r="E13" s="497" t="s">
        <v>435</v>
      </c>
      <c r="F13" s="512"/>
      <c r="G13" s="512"/>
      <c r="H13" s="512"/>
      <c r="I13" s="445"/>
      <c r="J13" s="138"/>
      <c r="K13" s="314"/>
      <c r="L13" s="315"/>
      <c r="M13" s="315"/>
      <c r="N13" s="312"/>
      <c r="O13" s="312"/>
      <c r="P13" s="312"/>
      <c r="Q13" s="312"/>
      <c r="R13" s="312"/>
      <c r="S13" s="312"/>
      <c r="T13" s="312"/>
      <c r="U13" s="312"/>
      <c r="V13" s="313"/>
    </row>
    <row r="14" spans="1:22" ht="27.75" customHeight="1">
      <c r="A14" s="506" t="s">
        <v>436</v>
      </c>
      <c r="B14" s="504" t="s">
        <v>433</v>
      </c>
      <c r="C14" s="505"/>
      <c r="D14" s="508" t="s">
        <v>434</v>
      </c>
      <c r="E14" s="498"/>
      <c r="F14" s="447" t="s">
        <v>623</v>
      </c>
      <c r="G14" s="499" t="s">
        <v>480</v>
      </c>
      <c r="H14" s="500"/>
      <c r="I14" s="445"/>
      <c r="J14" s="138"/>
      <c r="K14" s="314"/>
      <c r="L14" s="315"/>
      <c r="M14" s="315"/>
      <c r="N14" s="312"/>
      <c r="O14" s="312"/>
      <c r="P14" s="312"/>
      <c r="Q14" s="312"/>
      <c r="R14" s="312"/>
      <c r="S14" s="312"/>
      <c r="T14" s="312"/>
      <c r="U14" s="312"/>
      <c r="V14" s="313"/>
    </row>
    <row r="15" spans="1:22" ht="36" customHeight="1">
      <c r="A15" s="506"/>
      <c r="B15" s="501" t="s">
        <v>481</v>
      </c>
      <c r="C15" s="501" t="s">
        <v>482</v>
      </c>
      <c r="D15" s="508"/>
      <c r="E15" s="498"/>
      <c r="F15" s="502" t="s">
        <v>624</v>
      </c>
      <c r="G15" s="510" t="s">
        <v>634</v>
      </c>
      <c r="H15" s="502" t="s">
        <v>635</v>
      </c>
      <c r="I15" s="445"/>
      <c r="J15" s="138"/>
      <c r="K15" s="314"/>
      <c r="L15" s="315"/>
      <c r="M15" s="315"/>
      <c r="N15" s="312"/>
      <c r="O15" s="312"/>
      <c r="P15" s="312"/>
      <c r="Q15" s="312"/>
      <c r="R15" s="312"/>
      <c r="S15" s="312"/>
      <c r="T15" s="312"/>
      <c r="U15" s="312"/>
      <c r="V15" s="313"/>
    </row>
    <row r="16" spans="1:22" ht="30.75" customHeight="1" thickBot="1">
      <c r="A16" s="507"/>
      <c r="B16" s="501"/>
      <c r="C16" s="501"/>
      <c r="D16" s="509"/>
      <c r="E16" s="498"/>
      <c r="F16" s="503"/>
      <c r="G16" s="511"/>
      <c r="H16" s="503"/>
      <c r="I16" s="445"/>
      <c r="J16" s="138"/>
      <c r="K16" s="316"/>
      <c r="L16" s="317"/>
      <c r="M16" s="317"/>
      <c r="N16" s="318"/>
      <c r="O16" s="318"/>
      <c r="P16" s="318"/>
      <c r="Q16" s="318"/>
      <c r="R16" s="318"/>
      <c r="S16" s="318"/>
      <c r="T16" s="318"/>
      <c r="U16" s="318"/>
      <c r="V16" s="319"/>
    </row>
    <row r="17" spans="1:21" ht="27" customHeight="1" thickTop="1">
      <c r="A17" s="491" t="s">
        <v>439</v>
      </c>
      <c r="B17" s="491"/>
      <c r="C17" s="491"/>
      <c r="D17" s="491"/>
      <c r="E17" s="491"/>
      <c r="F17" s="491"/>
      <c r="G17" s="491"/>
      <c r="H17" s="492"/>
      <c r="I17" s="445"/>
      <c r="J17" s="138"/>
      <c r="K17" s="218"/>
      <c r="L17" s="218"/>
      <c r="M17" s="218"/>
      <c r="N17" s="138"/>
      <c r="O17" s="138"/>
      <c r="P17" s="138"/>
      <c r="Q17" s="138"/>
      <c r="R17" s="138"/>
      <c r="S17" s="138"/>
      <c r="T17" s="138"/>
      <c r="U17" s="138"/>
    </row>
    <row r="18" spans="1:21" ht="12.95" customHeight="1">
      <c r="A18" s="274"/>
      <c r="B18" s="275"/>
      <c r="C18" s="275"/>
      <c r="D18" s="275"/>
      <c r="E18" s="275"/>
      <c r="F18" s="444"/>
      <c r="G18" s="446" t="s">
        <v>64</v>
      </c>
      <c r="H18" s="444" t="s">
        <v>64</v>
      </c>
      <c r="I18" s="445"/>
      <c r="J18" s="138"/>
      <c r="K18" s="218"/>
      <c r="L18" s="218"/>
      <c r="M18" s="218"/>
      <c r="N18" s="138"/>
      <c r="O18" s="138"/>
      <c r="P18" s="138"/>
      <c r="Q18" s="138"/>
      <c r="R18" s="138"/>
      <c r="S18" s="138"/>
      <c r="T18" s="138"/>
      <c r="U18" s="138"/>
    </row>
    <row r="19" spans="1:21" ht="27" customHeight="1">
      <c r="A19" s="489" t="s">
        <v>106</v>
      </c>
      <c r="B19" s="490"/>
      <c r="C19" s="490"/>
      <c r="D19" s="490"/>
      <c r="E19" s="490"/>
      <c r="F19" s="490"/>
      <c r="G19" s="490"/>
      <c r="H19" s="490"/>
      <c r="I19" s="445"/>
      <c r="J19" s="138"/>
      <c r="K19" s="138"/>
      <c r="L19" s="138"/>
      <c r="M19" s="138"/>
      <c r="N19" s="138"/>
      <c r="O19" s="138"/>
      <c r="P19" s="138"/>
      <c r="Q19" s="138"/>
      <c r="R19" s="138"/>
      <c r="S19" s="138"/>
      <c r="T19" s="138"/>
      <c r="U19" s="138"/>
    </row>
    <row r="20" spans="1:21" ht="12.95" customHeight="1">
      <c r="A20" s="264"/>
      <c r="B20" s="264"/>
      <c r="C20" s="264"/>
      <c r="D20" s="264"/>
      <c r="E20" s="264"/>
      <c r="F20" s="264"/>
      <c r="G20" s="264"/>
      <c r="H20" s="264"/>
      <c r="J20" s="138"/>
      <c r="K20" s="138"/>
      <c r="L20" s="138"/>
      <c r="M20" s="138"/>
      <c r="N20" s="138"/>
      <c r="O20" s="138"/>
      <c r="P20" s="138"/>
      <c r="Q20" s="138"/>
      <c r="R20" s="138"/>
      <c r="S20" s="138"/>
      <c r="T20" s="138"/>
      <c r="U20" s="138"/>
    </row>
    <row r="21" spans="1:21" ht="12.95" customHeight="1">
      <c r="A21" s="264"/>
      <c r="B21" s="264"/>
      <c r="C21" s="264"/>
      <c r="D21" s="264"/>
      <c r="E21" s="264"/>
      <c r="F21" s="264"/>
      <c r="G21" s="264"/>
      <c r="H21" s="264"/>
      <c r="J21" s="138"/>
      <c r="K21" s="138"/>
      <c r="L21" s="138"/>
      <c r="M21" s="138"/>
      <c r="N21" s="138"/>
      <c r="O21" s="138"/>
      <c r="P21" s="138"/>
      <c r="Q21" s="138"/>
      <c r="R21" s="138"/>
      <c r="S21" s="138"/>
      <c r="T21" s="138"/>
      <c r="U21" s="138"/>
    </row>
    <row r="22" spans="1:21" ht="12.95" customHeight="1">
      <c r="A22" s="264"/>
      <c r="B22" s="264"/>
      <c r="C22" s="264"/>
      <c r="D22" s="264"/>
      <c r="E22" s="264"/>
      <c r="F22" s="264"/>
      <c r="G22" s="264"/>
      <c r="H22" s="264"/>
      <c r="J22" s="138"/>
      <c r="K22" s="138"/>
      <c r="L22" s="138"/>
      <c r="M22" s="138"/>
      <c r="N22" s="138"/>
      <c r="O22" s="138"/>
      <c r="P22" s="138"/>
      <c r="Q22" s="138"/>
      <c r="R22" s="138"/>
      <c r="S22" s="138"/>
      <c r="T22" s="138"/>
      <c r="U22" s="138"/>
    </row>
    <row r="23" spans="1:21" ht="12.95" customHeight="1">
      <c r="A23" s="264"/>
      <c r="B23" s="264"/>
      <c r="C23" s="264"/>
      <c r="D23" s="264"/>
      <c r="E23" s="264"/>
      <c r="F23" s="264"/>
      <c r="G23" s="264"/>
      <c r="H23" s="264"/>
      <c r="J23" s="138"/>
      <c r="K23" s="138"/>
      <c r="L23" s="138"/>
      <c r="M23" s="138"/>
      <c r="N23" s="138"/>
      <c r="O23" s="138"/>
      <c r="P23" s="138"/>
      <c r="Q23" s="138"/>
      <c r="R23" s="138"/>
      <c r="S23" s="138"/>
      <c r="T23" s="138"/>
      <c r="U23" s="138"/>
    </row>
    <row r="24" spans="1:21" ht="12.95" customHeight="1">
      <c r="A24" s="264"/>
      <c r="B24" s="264"/>
      <c r="C24" s="264"/>
      <c r="D24" s="264"/>
      <c r="E24" s="264"/>
      <c r="F24" s="264"/>
      <c r="G24" s="264"/>
      <c r="H24" s="264"/>
      <c r="J24" s="138"/>
      <c r="K24" s="138"/>
      <c r="L24" s="138"/>
      <c r="M24" s="138"/>
      <c r="N24" s="138"/>
      <c r="O24" s="138"/>
      <c r="P24" s="138"/>
      <c r="Q24" s="138"/>
      <c r="R24" s="138"/>
      <c r="S24" s="138"/>
      <c r="T24" s="138"/>
      <c r="U24" s="138"/>
    </row>
    <row r="25" spans="1:21" ht="12.95" customHeight="1">
      <c r="A25" s="264"/>
      <c r="B25" s="264"/>
      <c r="C25" s="264"/>
      <c r="D25" s="264"/>
      <c r="E25" s="264"/>
      <c r="F25" s="264"/>
      <c r="G25" s="264"/>
      <c r="H25" s="264"/>
      <c r="J25" s="138"/>
      <c r="K25" s="138"/>
      <c r="L25" s="138"/>
      <c r="M25" s="138"/>
      <c r="N25" s="138"/>
      <c r="O25" s="138"/>
      <c r="P25" s="138"/>
      <c r="Q25" s="138"/>
      <c r="R25" s="138"/>
      <c r="S25" s="138"/>
      <c r="T25" s="138"/>
      <c r="U25" s="138"/>
    </row>
    <row r="26" spans="1:21" ht="12.75">
      <c r="A26" s="256"/>
      <c r="B26" s="256"/>
      <c r="C26" s="256"/>
      <c r="D26" s="256"/>
      <c r="E26" s="256"/>
      <c r="G26" s="256"/>
      <c r="H26" s="256"/>
      <c r="J26" s="138"/>
      <c r="K26" s="138"/>
      <c r="L26" s="138"/>
      <c r="M26" s="138"/>
      <c r="N26" s="138"/>
      <c r="O26" s="138"/>
      <c r="P26" s="138"/>
      <c r="Q26" s="138"/>
      <c r="R26" s="138"/>
      <c r="S26" s="138"/>
      <c r="T26" s="138"/>
      <c r="U26" s="138"/>
    </row>
    <row r="27" spans="1:21" ht="12.75">
      <c r="A27" s="256"/>
      <c r="B27" s="256"/>
      <c r="C27" s="256"/>
      <c r="D27" s="256"/>
      <c r="E27" s="256"/>
      <c r="G27" s="256"/>
      <c r="H27" s="256"/>
      <c r="J27" s="138"/>
      <c r="K27" s="138"/>
      <c r="L27" s="138"/>
      <c r="M27" s="138"/>
      <c r="N27" s="138"/>
      <c r="O27" s="138"/>
      <c r="P27" s="138"/>
      <c r="Q27" s="138"/>
      <c r="R27" s="138"/>
      <c r="S27" s="138"/>
      <c r="T27" s="138"/>
      <c r="U27" s="138"/>
    </row>
    <row r="28" spans="1:21" ht="12.75">
      <c r="A28" s="256"/>
      <c r="B28" s="256"/>
      <c r="C28" s="256"/>
      <c r="D28" s="256"/>
      <c r="E28" s="256"/>
      <c r="G28" s="256"/>
      <c r="H28" s="256"/>
      <c r="J28" s="138"/>
      <c r="K28" s="138"/>
      <c r="L28" s="138"/>
      <c r="M28" s="138"/>
      <c r="N28" s="138"/>
      <c r="O28" s="138"/>
      <c r="P28" s="138"/>
      <c r="Q28" s="138"/>
      <c r="R28" s="138"/>
      <c r="S28" s="138"/>
      <c r="T28" s="138"/>
      <c r="U28" s="138"/>
    </row>
    <row r="29" spans="1:38" ht="12.75">
      <c r="A29" s="256"/>
      <c r="B29" s="256"/>
      <c r="C29" s="256"/>
      <c r="D29" s="256"/>
      <c r="E29" s="256"/>
      <c r="G29" s="256"/>
      <c r="H29" s="256"/>
      <c r="J29" s="138"/>
      <c r="K29" s="138"/>
      <c r="L29" s="138"/>
      <c r="M29" s="138"/>
      <c r="N29" s="138"/>
      <c r="O29" s="138"/>
      <c r="P29" s="138"/>
      <c r="Q29" s="138"/>
      <c r="R29" s="138"/>
      <c r="S29" s="138"/>
      <c r="T29" s="138"/>
      <c r="U29" s="138"/>
      <c r="AL29" s="116" t="s">
        <v>636</v>
      </c>
    </row>
    <row r="30" spans="1:38" ht="12.75">
      <c r="A30" s="256"/>
      <c r="B30" s="256"/>
      <c r="C30" s="256"/>
      <c r="D30" s="256"/>
      <c r="E30" s="256"/>
      <c r="G30" s="256"/>
      <c r="H30" s="256"/>
      <c r="J30" s="138"/>
      <c r="K30" s="138"/>
      <c r="L30" s="138"/>
      <c r="M30" s="138"/>
      <c r="N30" s="138"/>
      <c r="O30" s="138"/>
      <c r="P30" s="138"/>
      <c r="Q30" s="138"/>
      <c r="R30" s="138"/>
      <c r="S30" s="138"/>
      <c r="T30" s="138"/>
      <c r="U30" s="138"/>
      <c r="AL30" s="276"/>
    </row>
    <row r="31" spans="1:21" ht="12.75">
      <c r="A31" s="256"/>
      <c r="B31" s="256"/>
      <c r="C31" s="256"/>
      <c r="D31" s="256"/>
      <c r="E31" s="256"/>
      <c r="G31" s="256"/>
      <c r="H31" s="256"/>
      <c r="J31" s="138"/>
      <c r="K31" s="138"/>
      <c r="L31" s="138"/>
      <c r="M31" s="138"/>
      <c r="N31" s="138"/>
      <c r="O31" s="138"/>
      <c r="P31" s="138"/>
      <c r="Q31" s="138"/>
      <c r="R31" s="138"/>
      <c r="S31" s="138"/>
      <c r="T31" s="138"/>
      <c r="U31" s="138"/>
    </row>
    <row r="32" spans="1:21" ht="12.75">
      <c r="A32" s="256"/>
      <c r="B32" s="256"/>
      <c r="C32" s="256"/>
      <c r="D32" s="256"/>
      <c r="E32" s="256"/>
      <c r="G32" s="256"/>
      <c r="H32" s="256"/>
      <c r="J32" s="138"/>
      <c r="K32" s="138"/>
      <c r="L32" s="138"/>
      <c r="M32" s="138"/>
      <c r="N32" s="138"/>
      <c r="O32" s="138"/>
      <c r="P32" s="138"/>
      <c r="Q32" s="138"/>
      <c r="R32" s="138"/>
      <c r="S32" s="138"/>
      <c r="T32" s="138"/>
      <c r="U32" s="138"/>
    </row>
    <row r="33" spans="1:21" ht="12.75">
      <c r="A33" s="256"/>
      <c r="B33" s="256"/>
      <c r="C33" s="256"/>
      <c r="D33" s="256"/>
      <c r="E33" s="256"/>
      <c r="G33" s="256"/>
      <c r="H33" s="256"/>
      <c r="J33" s="138"/>
      <c r="K33" s="138"/>
      <c r="L33" s="138"/>
      <c r="M33" s="138"/>
      <c r="N33" s="138"/>
      <c r="O33" s="138"/>
      <c r="P33" s="138"/>
      <c r="Q33" s="138"/>
      <c r="R33" s="138"/>
      <c r="S33" s="138"/>
      <c r="T33" s="138"/>
      <c r="U33" s="138"/>
    </row>
    <row r="34" spans="1:21" ht="12.75">
      <c r="A34" s="256"/>
      <c r="B34" s="256"/>
      <c r="C34" s="256"/>
      <c r="D34" s="256"/>
      <c r="E34" s="256"/>
      <c r="G34" s="256"/>
      <c r="H34" s="256"/>
      <c r="J34" s="138"/>
      <c r="K34" s="138"/>
      <c r="L34" s="138"/>
      <c r="M34" s="138"/>
      <c r="N34" s="138"/>
      <c r="O34" s="138"/>
      <c r="P34" s="138"/>
      <c r="Q34" s="138"/>
      <c r="R34" s="138"/>
      <c r="S34" s="138"/>
      <c r="T34" s="138"/>
      <c r="U34" s="138"/>
    </row>
    <row r="35" spans="1:21" ht="12.75">
      <c r="A35" s="256"/>
      <c r="B35" s="256"/>
      <c r="C35" s="256"/>
      <c r="D35" s="256"/>
      <c r="E35" s="256"/>
      <c r="G35" s="256"/>
      <c r="H35" s="256"/>
      <c r="J35" s="138"/>
      <c r="K35" s="138"/>
      <c r="L35" s="138"/>
      <c r="M35" s="138"/>
      <c r="N35" s="138"/>
      <c r="O35" s="138"/>
      <c r="P35" s="138"/>
      <c r="Q35" s="138"/>
      <c r="R35" s="138"/>
      <c r="S35" s="138"/>
      <c r="T35" s="138"/>
      <c r="U35" s="138"/>
    </row>
    <row r="36" spans="1:21" ht="12.75">
      <c r="A36" s="256"/>
      <c r="B36" s="256"/>
      <c r="C36" s="256"/>
      <c r="D36" s="256"/>
      <c r="E36" s="256"/>
      <c r="G36" s="256"/>
      <c r="H36" s="256"/>
      <c r="J36" s="138"/>
      <c r="K36" s="138"/>
      <c r="L36" s="138"/>
      <c r="M36" s="138"/>
      <c r="N36" s="138"/>
      <c r="O36" s="138"/>
      <c r="P36" s="138"/>
      <c r="Q36" s="138"/>
      <c r="R36" s="138"/>
      <c r="S36" s="138"/>
      <c r="T36" s="138"/>
      <c r="U36" s="138"/>
    </row>
    <row r="37" spans="1:21" ht="12.75">
      <c r="A37" s="256"/>
      <c r="B37" s="256"/>
      <c r="C37" s="256"/>
      <c r="D37" s="256"/>
      <c r="E37" s="256"/>
      <c r="G37" s="256"/>
      <c r="H37" s="256"/>
      <c r="J37" s="138"/>
      <c r="K37" s="138"/>
      <c r="L37" s="138"/>
      <c r="M37" s="138"/>
      <c r="N37" s="138"/>
      <c r="O37" s="138"/>
      <c r="P37" s="138"/>
      <c r="Q37" s="138"/>
      <c r="R37" s="138"/>
      <c r="S37" s="138"/>
      <c r="T37" s="138"/>
      <c r="U37" s="138"/>
    </row>
    <row r="38" spans="1:21" ht="12.75">
      <c r="A38" s="256"/>
      <c r="B38" s="256"/>
      <c r="C38" s="256"/>
      <c r="D38" s="256"/>
      <c r="E38" s="256"/>
      <c r="G38" s="256"/>
      <c r="H38" s="256"/>
      <c r="J38" s="138"/>
      <c r="K38" s="138"/>
      <c r="L38" s="138"/>
      <c r="M38" s="138"/>
      <c r="N38" s="138"/>
      <c r="O38" s="138"/>
      <c r="P38" s="138"/>
      <c r="Q38" s="138"/>
      <c r="R38" s="138"/>
      <c r="S38" s="138"/>
      <c r="T38" s="138"/>
      <c r="U38" s="138"/>
    </row>
    <row r="39" spans="1:21" ht="12.75">
      <c r="A39" s="256"/>
      <c r="B39" s="256"/>
      <c r="C39" s="256"/>
      <c r="D39" s="256"/>
      <c r="E39" s="256"/>
      <c r="G39" s="256"/>
      <c r="H39" s="256"/>
      <c r="J39" s="138"/>
      <c r="K39" s="138"/>
      <c r="L39" s="138"/>
      <c r="M39" s="138"/>
      <c r="N39" s="138"/>
      <c r="O39" s="138"/>
      <c r="P39" s="138"/>
      <c r="Q39" s="138"/>
      <c r="R39" s="138"/>
      <c r="S39" s="138"/>
      <c r="T39" s="138"/>
      <c r="U39" s="138"/>
    </row>
    <row r="40" spans="1:21" ht="12.75">
      <c r="A40" s="256"/>
      <c r="B40" s="256"/>
      <c r="C40" s="256"/>
      <c r="D40" s="256"/>
      <c r="E40" s="256"/>
      <c r="G40" s="256"/>
      <c r="H40" s="256"/>
      <c r="J40" s="138"/>
      <c r="K40" s="138"/>
      <c r="L40" s="138"/>
      <c r="M40" s="138"/>
      <c r="N40" s="138"/>
      <c r="O40" s="138"/>
      <c r="P40" s="138"/>
      <c r="Q40" s="138"/>
      <c r="R40" s="138"/>
      <c r="S40" s="138"/>
      <c r="T40" s="138"/>
      <c r="U40" s="138"/>
    </row>
    <row r="41" spans="1:21" ht="12.75">
      <c r="A41" s="256"/>
      <c r="B41" s="256"/>
      <c r="C41" s="256"/>
      <c r="D41" s="256"/>
      <c r="E41" s="256"/>
      <c r="G41" s="256"/>
      <c r="H41" s="256"/>
      <c r="J41" s="138"/>
      <c r="K41" s="138"/>
      <c r="L41" s="138"/>
      <c r="M41" s="138"/>
      <c r="N41" s="138"/>
      <c r="O41" s="138"/>
      <c r="P41" s="138"/>
      <c r="Q41" s="138"/>
      <c r="R41" s="138"/>
      <c r="S41" s="138"/>
      <c r="T41" s="138"/>
      <c r="U41" s="138"/>
    </row>
    <row r="42" spans="1:21" ht="12.75">
      <c r="A42" s="256"/>
      <c r="B42" s="256"/>
      <c r="C42" s="256"/>
      <c r="D42" s="256"/>
      <c r="E42" s="256"/>
      <c r="G42" s="256"/>
      <c r="H42" s="256"/>
      <c r="J42" s="138"/>
      <c r="K42" s="138"/>
      <c r="L42" s="138"/>
      <c r="M42" s="138"/>
      <c r="N42" s="138"/>
      <c r="O42" s="138"/>
      <c r="P42" s="138"/>
      <c r="Q42" s="138"/>
      <c r="R42" s="138"/>
      <c r="S42" s="138"/>
      <c r="T42" s="138"/>
      <c r="U42" s="138"/>
    </row>
    <row r="43" spans="1:21" ht="12.75">
      <c r="A43" s="256"/>
      <c r="B43" s="256"/>
      <c r="C43" s="256"/>
      <c r="D43" s="256"/>
      <c r="E43" s="256"/>
      <c r="G43" s="256"/>
      <c r="H43" s="256"/>
      <c r="J43" s="138"/>
      <c r="K43" s="138"/>
      <c r="L43" s="138"/>
      <c r="M43" s="138"/>
      <c r="N43" s="138"/>
      <c r="O43" s="138"/>
      <c r="P43" s="138"/>
      <c r="Q43" s="138"/>
      <c r="R43" s="138"/>
      <c r="S43" s="138"/>
      <c r="T43" s="138"/>
      <c r="U43" s="138"/>
    </row>
    <row r="44" spans="1:21" ht="12.75">
      <c r="A44" s="256"/>
      <c r="B44" s="256"/>
      <c r="C44" s="256"/>
      <c r="D44" s="256"/>
      <c r="E44" s="256"/>
      <c r="G44" s="256"/>
      <c r="H44" s="256"/>
      <c r="J44" s="138"/>
      <c r="K44" s="138"/>
      <c r="L44" s="138"/>
      <c r="M44" s="138"/>
      <c r="N44" s="138"/>
      <c r="O44" s="138"/>
      <c r="P44" s="138"/>
      <c r="Q44" s="138"/>
      <c r="R44" s="138"/>
      <c r="S44" s="138"/>
      <c r="T44" s="138"/>
      <c r="U44" s="138"/>
    </row>
    <row r="45" spans="1:21" ht="12.75">
      <c r="A45" s="256"/>
      <c r="B45" s="256"/>
      <c r="C45" s="256"/>
      <c r="D45" s="256"/>
      <c r="E45" s="256"/>
      <c r="G45" s="256"/>
      <c r="H45" s="256"/>
      <c r="J45" s="138"/>
      <c r="K45" s="138"/>
      <c r="L45" s="138"/>
      <c r="M45" s="138"/>
      <c r="N45" s="138"/>
      <c r="O45" s="138"/>
      <c r="P45" s="138"/>
      <c r="Q45" s="138"/>
      <c r="R45" s="138"/>
      <c r="S45" s="138"/>
      <c r="T45" s="138"/>
      <c r="U45" s="138"/>
    </row>
    <row r="46" spans="1:21" ht="12.75">
      <c r="A46" s="256"/>
      <c r="B46" s="256"/>
      <c r="C46" s="256"/>
      <c r="D46" s="256"/>
      <c r="E46" s="256"/>
      <c r="G46" s="256"/>
      <c r="H46" s="256"/>
      <c r="J46" s="138"/>
      <c r="K46" s="138"/>
      <c r="L46" s="138"/>
      <c r="M46" s="138"/>
      <c r="N46" s="138"/>
      <c r="O46" s="138"/>
      <c r="P46" s="138"/>
      <c r="Q46" s="138"/>
      <c r="R46" s="138"/>
      <c r="S46" s="138"/>
      <c r="T46" s="138"/>
      <c r="U46" s="138"/>
    </row>
    <row r="47" spans="1:21" ht="12.75">
      <c r="A47" s="256"/>
      <c r="B47" s="256"/>
      <c r="C47" s="256"/>
      <c r="D47" s="256"/>
      <c r="E47" s="256"/>
      <c r="G47" s="256"/>
      <c r="H47" s="256"/>
      <c r="J47" s="138"/>
      <c r="K47" s="138"/>
      <c r="L47" s="138"/>
      <c r="M47" s="138"/>
      <c r="N47" s="138"/>
      <c r="O47" s="138"/>
      <c r="P47" s="138"/>
      <c r="Q47" s="138"/>
      <c r="R47" s="138"/>
      <c r="S47" s="138"/>
      <c r="T47" s="138"/>
      <c r="U47" s="138"/>
    </row>
    <row r="48" spans="1:21" ht="12.75">
      <c r="A48" s="256"/>
      <c r="B48" s="256"/>
      <c r="C48" s="256"/>
      <c r="D48" s="256"/>
      <c r="E48" s="256"/>
      <c r="G48" s="256"/>
      <c r="H48" s="256"/>
      <c r="J48" s="138"/>
      <c r="K48" s="138"/>
      <c r="L48" s="138"/>
      <c r="M48" s="138"/>
      <c r="N48" s="138"/>
      <c r="O48" s="138"/>
      <c r="P48" s="138"/>
      <c r="Q48" s="138"/>
      <c r="R48" s="138"/>
      <c r="S48" s="138"/>
      <c r="T48" s="138"/>
      <c r="U48" s="138"/>
    </row>
    <row r="49" spans="1:21" ht="12.75">
      <c r="A49" s="256"/>
      <c r="B49" s="256"/>
      <c r="C49" s="256"/>
      <c r="D49" s="256"/>
      <c r="E49" s="256"/>
      <c r="G49" s="256"/>
      <c r="H49" s="256"/>
      <c r="J49" s="138"/>
      <c r="K49" s="138"/>
      <c r="L49" s="138"/>
      <c r="M49" s="138"/>
      <c r="N49" s="138"/>
      <c r="O49" s="138"/>
      <c r="P49" s="138"/>
      <c r="Q49" s="138"/>
      <c r="R49" s="138"/>
      <c r="S49" s="138"/>
      <c r="T49" s="138"/>
      <c r="U49" s="138"/>
    </row>
    <row r="50" spans="1:21" ht="12.75">
      <c r="A50" s="256"/>
      <c r="B50" s="256"/>
      <c r="C50" s="256"/>
      <c r="D50" s="256"/>
      <c r="E50" s="256"/>
      <c r="G50" s="256"/>
      <c r="H50" s="256"/>
      <c r="J50" s="138"/>
      <c r="K50" s="138"/>
      <c r="L50" s="138"/>
      <c r="M50" s="138"/>
      <c r="N50" s="138"/>
      <c r="O50" s="138"/>
      <c r="P50" s="138"/>
      <c r="Q50" s="138"/>
      <c r="R50" s="138"/>
      <c r="S50" s="138"/>
      <c r="T50" s="138"/>
      <c r="U50" s="138"/>
    </row>
    <row r="51" spans="1:21" ht="12.75">
      <c r="A51" s="256"/>
      <c r="B51" s="256"/>
      <c r="C51" s="256"/>
      <c r="D51" s="256"/>
      <c r="E51" s="256"/>
      <c r="G51" s="256"/>
      <c r="H51" s="256"/>
      <c r="J51" s="138"/>
      <c r="K51" s="138"/>
      <c r="L51" s="138"/>
      <c r="M51" s="138"/>
      <c r="N51" s="138"/>
      <c r="O51" s="138"/>
      <c r="P51" s="138"/>
      <c r="Q51" s="138"/>
      <c r="R51" s="138"/>
      <c r="S51" s="138"/>
      <c r="T51" s="138"/>
      <c r="U51" s="138"/>
    </row>
    <row r="52" spans="1:21" ht="12.75">
      <c r="A52" s="256"/>
      <c r="B52" s="256"/>
      <c r="C52" s="256"/>
      <c r="D52" s="256"/>
      <c r="E52" s="256"/>
      <c r="G52" s="256"/>
      <c r="H52" s="256"/>
      <c r="J52" s="138"/>
      <c r="K52" s="138"/>
      <c r="L52" s="138"/>
      <c r="M52" s="138"/>
      <c r="N52" s="138"/>
      <c r="O52" s="138"/>
      <c r="P52" s="138"/>
      <c r="Q52" s="138"/>
      <c r="R52" s="138"/>
      <c r="S52" s="138"/>
      <c r="T52" s="138"/>
      <c r="U52" s="138"/>
    </row>
    <row r="53" spans="1:21" ht="12.75">
      <c r="A53" s="256"/>
      <c r="B53" s="256"/>
      <c r="C53" s="256"/>
      <c r="D53" s="256"/>
      <c r="E53" s="256"/>
      <c r="G53" s="256"/>
      <c r="H53" s="256"/>
      <c r="J53" s="138"/>
      <c r="K53" s="138"/>
      <c r="L53" s="138"/>
      <c r="M53" s="138"/>
      <c r="N53" s="138"/>
      <c r="O53" s="138"/>
      <c r="P53" s="138"/>
      <c r="Q53" s="138"/>
      <c r="R53" s="138"/>
      <c r="S53" s="138"/>
      <c r="T53" s="138"/>
      <c r="U53" s="138"/>
    </row>
    <row r="54" spans="1:21" ht="12.75">
      <c r="A54" s="256"/>
      <c r="B54" s="256"/>
      <c r="C54" s="256"/>
      <c r="D54" s="256"/>
      <c r="E54" s="256"/>
      <c r="G54" s="256"/>
      <c r="H54" s="256"/>
      <c r="J54" s="138"/>
      <c r="K54" s="138"/>
      <c r="L54" s="138"/>
      <c r="M54" s="138"/>
      <c r="N54" s="138"/>
      <c r="O54" s="138"/>
      <c r="P54" s="138"/>
      <c r="Q54" s="138"/>
      <c r="R54" s="138"/>
      <c r="S54" s="138"/>
      <c r="T54" s="138"/>
      <c r="U54" s="138"/>
    </row>
    <row r="55" spans="1:21" ht="12.75">
      <c r="A55" s="256"/>
      <c r="B55" s="256"/>
      <c r="C55" s="256"/>
      <c r="D55" s="256"/>
      <c r="E55" s="256"/>
      <c r="G55" s="256"/>
      <c r="H55" s="256"/>
      <c r="J55" s="138"/>
      <c r="K55" s="138"/>
      <c r="L55" s="138"/>
      <c r="M55" s="138"/>
      <c r="N55" s="138"/>
      <c r="O55" s="138"/>
      <c r="P55" s="138"/>
      <c r="Q55" s="138"/>
      <c r="R55" s="138"/>
      <c r="S55" s="138"/>
      <c r="T55" s="138"/>
      <c r="U55" s="138"/>
    </row>
    <row r="56" spans="1:8" ht="12.75">
      <c r="A56" s="256"/>
      <c r="B56" s="256"/>
      <c r="C56" s="256"/>
      <c r="D56" s="256"/>
      <c r="E56" s="256"/>
      <c r="G56" s="256"/>
      <c r="H56" s="256"/>
    </row>
    <row r="57" spans="1:8" ht="12.75">
      <c r="A57" s="256"/>
      <c r="B57" s="256"/>
      <c r="C57" s="256"/>
      <c r="D57" s="256"/>
      <c r="E57" s="256"/>
      <c r="G57" s="256"/>
      <c r="H57" s="256"/>
    </row>
    <row r="58" spans="1:8" ht="12.75">
      <c r="A58" s="256"/>
      <c r="B58" s="256"/>
      <c r="C58" s="256"/>
      <c r="D58" s="256"/>
      <c r="E58" s="256"/>
      <c r="G58" s="256"/>
      <c r="H58" s="256"/>
    </row>
    <row r="59" spans="1:8" ht="12.75">
      <c r="A59" s="256"/>
      <c r="B59" s="256"/>
      <c r="C59" s="256"/>
      <c r="D59" s="256"/>
      <c r="E59" s="256"/>
      <c r="G59" s="256"/>
      <c r="H59" s="256"/>
    </row>
    <row r="60" spans="1:8" ht="12.75">
      <c r="A60" s="256"/>
      <c r="B60" s="256"/>
      <c r="C60" s="256"/>
      <c r="D60" s="256"/>
      <c r="E60" s="256"/>
      <c r="G60" s="256"/>
      <c r="H60" s="256"/>
    </row>
    <row r="61" spans="1:8" ht="12.75">
      <c r="A61" s="256"/>
      <c r="B61" s="256"/>
      <c r="C61" s="256"/>
      <c r="D61" s="256"/>
      <c r="E61" s="256"/>
      <c r="G61" s="256"/>
      <c r="H61" s="256"/>
    </row>
    <row r="62" spans="1:8" ht="12.75">
      <c r="A62" s="256"/>
      <c r="B62" s="256"/>
      <c r="C62" s="256"/>
      <c r="D62" s="256"/>
      <c r="E62" s="256"/>
      <c r="G62" s="256"/>
      <c r="H62" s="256"/>
    </row>
    <row r="63" spans="1:8" ht="12.75">
      <c r="A63" s="256"/>
      <c r="B63" s="256"/>
      <c r="C63" s="256"/>
      <c r="D63" s="256"/>
      <c r="E63" s="256"/>
      <c r="G63" s="256"/>
      <c r="H63" s="256"/>
    </row>
    <row r="64" spans="1:8" ht="12.75">
      <c r="A64" s="256"/>
      <c r="B64" s="256"/>
      <c r="C64" s="256"/>
      <c r="D64" s="256"/>
      <c r="E64" s="256"/>
      <c r="G64" s="256"/>
      <c r="H64" s="256"/>
    </row>
    <row r="65" spans="1:8" ht="12.75">
      <c r="A65" s="256"/>
      <c r="B65" s="256"/>
      <c r="C65" s="256"/>
      <c r="D65" s="256"/>
      <c r="E65" s="256"/>
      <c r="G65" s="256"/>
      <c r="H65" s="256"/>
    </row>
    <row r="66" spans="1:8" ht="12.75">
      <c r="A66" s="256"/>
      <c r="B66" s="256"/>
      <c r="C66" s="256"/>
      <c r="D66" s="256"/>
      <c r="E66" s="256"/>
      <c r="G66" s="256"/>
      <c r="H66" s="256"/>
    </row>
    <row r="67" spans="1:8" ht="12.75">
      <c r="A67" s="256"/>
      <c r="B67" s="256"/>
      <c r="C67" s="256"/>
      <c r="D67" s="256"/>
      <c r="E67" s="256"/>
      <c r="G67" s="256"/>
      <c r="H67" s="256"/>
    </row>
    <row r="68" spans="1:8" ht="12.75">
      <c r="A68" s="256"/>
      <c r="B68" s="256"/>
      <c r="C68" s="256"/>
      <c r="D68" s="256"/>
      <c r="E68" s="256"/>
      <c r="G68" s="256"/>
      <c r="H68" s="256"/>
    </row>
    <row r="69" spans="1:8" ht="12.75">
      <c r="A69" s="256"/>
      <c r="B69" s="256"/>
      <c r="C69" s="256"/>
      <c r="D69" s="256"/>
      <c r="E69" s="256"/>
      <c r="G69" s="256"/>
      <c r="H69" s="256"/>
    </row>
    <row r="70" spans="1:8" ht="12.75">
      <c r="A70" s="256"/>
      <c r="B70" s="256"/>
      <c r="C70" s="256"/>
      <c r="D70" s="256"/>
      <c r="E70" s="256"/>
      <c r="G70" s="256"/>
      <c r="H70" s="256"/>
    </row>
    <row r="71" spans="1:8" ht="12.75">
      <c r="A71" s="256"/>
      <c r="B71" s="256"/>
      <c r="C71" s="256"/>
      <c r="D71" s="256"/>
      <c r="E71" s="256"/>
      <c r="G71" s="256"/>
      <c r="H71" s="256"/>
    </row>
    <row r="72" spans="1:8" ht="12.75">
      <c r="A72" s="256"/>
      <c r="B72" s="256"/>
      <c r="C72" s="256"/>
      <c r="D72" s="256"/>
      <c r="E72" s="256"/>
      <c r="G72" s="256"/>
      <c r="H72" s="256"/>
    </row>
    <row r="73" spans="1:8" ht="12.75">
      <c r="A73" s="256"/>
      <c r="B73" s="256"/>
      <c r="C73" s="256"/>
      <c r="D73" s="256"/>
      <c r="E73" s="256"/>
      <c r="G73" s="256"/>
      <c r="H73" s="256"/>
    </row>
    <row r="74" spans="1:8" ht="12.75">
      <c r="A74" s="256"/>
      <c r="B74" s="256"/>
      <c r="C74" s="256"/>
      <c r="D74" s="256"/>
      <c r="E74" s="256"/>
      <c r="G74" s="256"/>
      <c r="H74" s="256"/>
    </row>
    <row r="75" spans="1:8" ht="12.75">
      <c r="A75" s="256"/>
      <c r="B75" s="256"/>
      <c r="C75" s="256"/>
      <c r="D75" s="256"/>
      <c r="E75" s="256"/>
      <c r="G75" s="256"/>
      <c r="H75" s="256"/>
    </row>
    <row r="76" spans="1:8" ht="12.75">
      <c r="A76" s="256"/>
      <c r="B76" s="256"/>
      <c r="C76" s="256"/>
      <c r="D76" s="256"/>
      <c r="E76" s="256"/>
      <c r="G76" s="256"/>
      <c r="H76" s="256"/>
    </row>
    <row r="77" spans="1:8" ht="12.75">
      <c r="A77" s="256"/>
      <c r="B77" s="256"/>
      <c r="C77" s="256"/>
      <c r="D77" s="256"/>
      <c r="E77" s="256"/>
      <c r="G77" s="256"/>
      <c r="H77" s="256"/>
    </row>
    <row r="78" spans="1:8" ht="12.75">
      <c r="A78" s="256"/>
      <c r="B78" s="256"/>
      <c r="C78" s="256"/>
      <c r="D78" s="256"/>
      <c r="E78" s="256"/>
      <c r="G78" s="256"/>
      <c r="H78" s="256"/>
    </row>
    <row r="79" spans="1:8" ht="12.75">
      <c r="A79" s="256"/>
      <c r="B79" s="256"/>
      <c r="C79" s="256"/>
      <c r="D79" s="256"/>
      <c r="E79" s="256"/>
      <c r="G79" s="256"/>
      <c r="H79" s="256"/>
    </row>
    <row r="80" spans="1:8" ht="12.75">
      <c r="A80" s="256"/>
      <c r="B80" s="256"/>
      <c r="C80" s="256"/>
      <c r="D80" s="256"/>
      <c r="E80" s="256"/>
      <c r="G80" s="256"/>
      <c r="H80" s="256"/>
    </row>
    <row r="81" spans="1:8" ht="12.75">
      <c r="A81" s="256"/>
      <c r="B81" s="256"/>
      <c r="C81" s="256"/>
      <c r="D81" s="256"/>
      <c r="E81" s="256"/>
      <c r="G81" s="256"/>
      <c r="H81" s="256"/>
    </row>
    <row r="82" spans="1:8" ht="12.75">
      <c r="A82" s="256"/>
      <c r="B82" s="256"/>
      <c r="C82" s="256"/>
      <c r="D82" s="256"/>
      <c r="E82" s="256"/>
      <c r="G82" s="256"/>
      <c r="H82" s="256"/>
    </row>
    <row r="83" spans="1:8" ht="12.75">
      <c r="A83" s="256"/>
      <c r="B83" s="256"/>
      <c r="C83" s="256"/>
      <c r="D83" s="256"/>
      <c r="E83" s="256"/>
      <c r="G83" s="256"/>
      <c r="H83" s="256"/>
    </row>
    <row r="84" spans="1:8" ht="12.75">
      <c r="A84" s="256"/>
      <c r="B84" s="256"/>
      <c r="C84" s="256"/>
      <c r="D84" s="256"/>
      <c r="E84" s="256"/>
      <c r="G84" s="256"/>
      <c r="H84" s="256"/>
    </row>
    <row r="85" spans="1:8" ht="12.75">
      <c r="A85" s="256"/>
      <c r="B85" s="256"/>
      <c r="C85" s="256"/>
      <c r="D85" s="256"/>
      <c r="E85" s="256"/>
      <c r="G85" s="256"/>
      <c r="H85" s="256"/>
    </row>
    <row r="86" spans="1:8" ht="12.75">
      <c r="A86" s="256"/>
      <c r="B86" s="256"/>
      <c r="C86" s="256"/>
      <c r="D86" s="256"/>
      <c r="E86" s="256"/>
      <c r="G86" s="256"/>
      <c r="H86" s="256"/>
    </row>
    <row r="87" spans="1:8" ht="12.75">
      <c r="A87" s="256"/>
      <c r="B87" s="256"/>
      <c r="C87" s="256"/>
      <c r="D87" s="256"/>
      <c r="E87" s="256"/>
      <c r="G87" s="256"/>
      <c r="H87" s="256"/>
    </row>
    <row r="88" spans="1:8" ht="12.75">
      <c r="A88" s="276"/>
      <c r="B88" s="256"/>
      <c r="C88" s="256"/>
      <c r="D88" s="256"/>
      <c r="E88" s="256"/>
      <c r="G88" s="256"/>
      <c r="H88" s="256"/>
    </row>
    <row r="89" spans="1:8" ht="12.75">
      <c r="A89" s="276"/>
      <c r="B89" s="256"/>
      <c r="C89" s="256"/>
      <c r="D89" s="256"/>
      <c r="E89" s="256"/>
      <c r="G89" s="256"/>
      <c r="H89" s="256"/>
    </row>
    <row r="90" spans="1:8" ht="12.75">
      <c r="A90" s="276"/>
      <c r="B90" s="256"/>
      <c r="C90" s="256"/>
      <c r="D90" s="256"/>
      <c r="E90" s="256"/>
      <c r="G90" s="256"/>
      <c r="H90" s="256"/>
    </row>
    <row r="91" spans="1:8" ht="12.75">
      <c r="A91" s="276"/>
      <c r="B91" s="256"/>
      <c r="C91" s="256"/>
      <c r="D91" s="256"/>
      <c r="E91" s="256"/>
      <c r="G91" s="256"/>
      <c r="H91" s="256"/>
    </row>
    <row r="92" spans="1:8" ht="12.75">
      <c r="A92" s="276"/>
      <c r="B92" s="256"/>
      <c r="C92" s="256"/>
      <c r="D92" s="256"/>
      <c r="E92" s="256"/>
      <c r="G92" s="256"/>
      <c r="H92" s="256"/>
    </row>
    <row r="93" spans="1:8" ht="12.75">
      <c r="A93" s="276"/>
      <c r="B93" s="256"/>
      <c r="C93" s="256"/>
      <c r="D93" s="256"/>
      <c r="E93" s="256"/>
      <c r="G93" s="256"/>
      <c r="H93" s="256"/>
    </row>
    <row r="94" spans="1:8" ht="12.75">
      <c r="A94" s="276"/>
      <c r="B94" s="256"/>
      <c r="C94" s="256"/>
      <c r="D94" s="256"/>
      <c r="E94" s="256"/>
      <c r="G94" s="256"/>
      <c r="H94" s="256"/>
    </row>
    <row r="95" spans="1:8" ht="12.75">
      <c r="A95" s="276"/>
      <c r="B95" s="256"/>
      <c r="C95" s="256"/>
      <c r="D95" s="256"/>
      <c r="E95" s="256"/>
      <c r="G95" s="256"/>
      <c r="H95" s="256"/>
    </row>
    <row r="96" spans="1:8" ht="12.75">
      <c r="A96" s="276"/>
      <c r="B96" s="256"/>
      <c r="C96" s="256"/>
      <c r="D96" s="256"/>
      <c r="E96" s="256"/>
      <c r="G96" s="256"/>
      <c r="H96" s="256"/>
    </row>
    <row r="97" spans="1:8" ht="12.75">
      <c r="A97" s="276"/>
      <c r="B97" s="256"/>
      <c r="C97" s="256"/>
      <c r="D97" s="256"/>
      <c r="E97" s="256"/>
      <c r="G97" s="256"/>
      <c r="H97" s="256"/>
    </row>
    <row r="98" spans="1:8" ht="12.75">
      <c r="A98" s="276"/>
      <c r="B98" s="256"/>
      <c r="C98" s="256"/>
      <c r="D98" s="256"/>
      <c r="E98" s="256"/>
      <c r="G98" s="256"/>
      <c r="H98" s="256"/>
    </row>
    <row r="99" spans="1:8" ht="12.75">
      <c r="A99" s="276"/>
      <c r="B99" s="256"/>
      <c r="C99" s="256"/>
      <c r="D99" s="256"/>
      <c r="E99" s="256"/>
      <c r="G99" s="256"/>
      <c r="H99" s="256"/>
    </row>
    <row r="100" spans="1:8" ht="12.75">
      <c r="A100" s="276"/>
      <c r="B100" s="256"/>
      <c r="C100" s="256"/>
      <c r="D100" s="256"/>
      <c r="E100" s="256"/>
      <c r="G100" s="256"/>
      <c r="H100" s="256"/>
    </row>
    <row r="101" spans="1:8" ht="12.75">
      <c r="A101" s="276"/>
      <c r="B101" s="256"/>
      <c r="C101" s="256"/>
      <c r="D101" s="256"/>
      <c r="E101" s="256"/>
      <c r="G101" s="256"/>
      <c r="H101" s="256"/>
    </row>
    <row r="102" spans="1:8" ht="12.75">
      <c r="A102" s="276"/>
      <c r="B102" s="256"/>
      <c r="C102" s="256"/>
      <c r="D102" s="256"/>
      <c r="E102" s="256"/>
      <c r="G102" s="256"/>
      <c r="H102" s="256"/>
    </row>
    <row r="103" spans="1:8" ht="12.75">
      <c r="A103" s="276"/>
      <c r="B103" s="256"/>
      <c r="C103" s="256"/>
      <c r="D103" s="256"/>
      <c r="E103" s="256"/>
      <c r="G103" s="256"/>
      <c r="H103" s="256"/>
    </row>
    <row r="104" spans="1:8" ht="12.75">
      <c r="A104" s="276"/>
      <c r="B104" s="256"/>
      <c r="C104" s="256"/>
      <c r="D104" s="256"/>
      <c r="E104" s="256"/>
      <c r="G104" s="256"/>
      <c r="H104" s="256"/>
    </row>
    <row r="105" spans="1:8" ht="12.75">
      <c r="A105" s="276"/>
      <c r="B105" s="256"/>
      <c r="C105" s="256"/>
      <c r="D105" s="256"/>
      <c r="E105" s="256"/>
      <c r="G105" s="256"/>
      <c r="H105" s="256"/>
    </row>
    <row r="106" spans="1:8" ht="12.75">
      <c r="A106" s="276"/>
      <c r="B106" s="256"/>
      <c r="C106" s="256"/>
      <c r="D106" s="256"/>
      <c r="E106" s="256"/>
      <c r="G106" s="256"/>
      <c r="H106" s="256"/>
    </row>
    <row r="107" spans="1:8" ht="12.75">
      <c r="A107" s="276"/>
      <c r="B107" s="256"/>
      <c r="C107" s="256"/>
      <c r="D107" s="256"/>
      <c r="E107" s="256"/>
      <c r="G107" s="256"/>
      <c r="H107" s="256"/>
    </row>
    <row r="108" spans="1:8" ht="12.75">
      <c r="A108" s="276"/>
      <c r="B108" s="256"/>
      <c r="C108" s="256"/>
      <c r="D108" s="256"/>
      <c r="E108" s="256"/>
      <c r="G108" s="256"/>
      <c r="H108" s="256"/>
    </row>
    <row r="109" spans="1:8" ht="12.75">
      <c r="A109" s="276"/>
      <c r="B109" s="256"/>
      <c r="C109" s="256"/>
      <c r="D109" s="256"/>
      <c r="E109" s="256"/>
      <c r="G109" s="256"/>
      <c r="H109" s="256"/>
    </row>
    <row r="110" spans="1:8" ht="12.75">
      <c r="A110" s="276"/>
      <c r="B110" s="256"/>
      <c r="C110" s="256"/>
      <c r="D110" s="256"/>
      <c r="E110" s="256"/>
      <c r="G110" s="256"/>
      <c r="H110" s="256"/>
    </row>
    <row r="111" spans="1:8" ht="12.75">
      <c r="A111" s="276"/>
      <c r="B111" s="256"/>
      <c r="C111" s="256"/>
      <c r="D111" s="256"/>
      <c r="E111" s="256"/>
      <c r="G111" s="256"/>
      <c r="H111" s="256"/>
    </row>
    <row r="112" spans="1:8" ht="12.75">
      <c r="A112" s="276"/>
      <c r="B112" s="256"/>
      <c r="C112" s="256"/>
      <c r="D112" s="256"/>
      <c r="E112" s="256"/>
      <c r="G112" s="256"/>
      <c r="H112" s="256"/>
    </row>
    <row r="113" spans="1:8" ht="12.75">
      <c r="A113" s="276"/>
      <c r="B113" s="256"/>
      <c r="C113" s="256"/>
      <c r="D113" s="256"/>
      <c r="E113" s="256"/>
      <c r="G113" s="256"/>
      <c r="H113" s="256"/>
    </row>
    <row r="114" spans="1:8" ht="12.75">
      <c r="A114" s="276"/>
      <c r="B114" s="256"/>
      <c r="C114" s="256"/>
      <c r="D114" s="256"/>
      <c r="E114" s="256"/>
      <c r="G114" s="256"/>
      <c r="H114" s="256"/>
    </row>
    <row r="115" spans="1:8" ht="12.75">
      <c r="A115" s="276"/>
      <c r="B115" s="256"/>
      <c r="C115" s="256"/>
      <c r="D115" s="256"/>
      <c r="E115" s="256"/>
      <c r="G115" s="256"/>
      <c r="H115" s="256"/>
    </row>
    <row r="116" spans="1:8" ht="12.75">
      <c r="A116" s="276"/>
      <c r="B116" s="256"/>
      <c r="C116" s="256"/>
      <c r="D116" s="256"/>
      <c r="E116" s="256"/>
      <c r="G116" s="256"/>
      <c r="H116" s="256"/>
    </row>
    <row r="117" spans="1:8" ht="12.75">
      <c r="A117" s="276"/>
      <c r="B117" s="256"/>
      <c r="C117" s="256"/>
      <c r="D117" s="256"/>
      <c r="E117" s="256"/>
      <c r="G117" s="256"/>
      <c r="H117" s="256"/>
    </row>
    <row r="118" spans="1:8" ht="12.75">
      <c r="A118" s="276"/>
      <c r="B118" s="256"/>
      <c r="C118" s="256"/>
      <c r="D118" s="256"/>
      <c r="E118" s="256"/>
      <c r="G118" s="256"/>
      <c r="H118" s="256"/>
    </row>
    <row r="119" spans="1:8" ht="12.75">
      <c r="A119" s="276"/>
      <c r="B119" s="256"/>
      <c r="C119" s="256"/>
      <c r="D119" s="256"/>
      <c r="E119" s="256"/>
      <c r="G119" s="256"/>
      <c r="H119" s="256"/>
    </row>
    <row r="120" spans="1:8" ht="12.75">
      <c r="A120" s="276"/>
      <c r="B120" s="256"/>
      <c r="C120" s="256"/>
      <c r="D120" s="256"/>
      <c r="E120" s="256"/>
      <c r="G120" s="256"/>
      <c r="H120" s="256"/>
    </row>
    <row r="121" spans="1:8" ht="12.75">
      <c r="A121" s="276"/>
      <c r="B121" s="256"/>
      <c r="C121" s="256"/>
      <c r="D121" s="256"/>
      <c r="E121" s="256"/>
      <c r="G121" s="256"/>
      <c r="H121" s="256"/>
    </row>
    <row r="122" spans="1:8" ht="12.75">
      <c r="A122" s="276"/>
      <c r="B122" s="256"/>
      <c r="C122" s="256"/>
      <c r="D122" s="256"/>
      <c r="E122" s="256"/>
      <c r="G122" s="256"/>
      <c r="H122" s="256"/>
    </row>
    <row r="123" spans="1:8" ht="12.75">
      <c r="A123" s="276"/>
      <c r="B123" s="256"/>
      <c r="C123" s="256"/>
      <c r="D123" s="256"/>
      <c r="E123" s="256"/>
      <c r="G123" s="256"/>
      <c r="H123" s="256"/>
    </row>
    <row r="124" spans="1:8" ht="12.75">
      <c r="A124" s="276"/>
      <c r="B124" s="256"/>
      <c r="C124" s="256"/>
      <c r="D124" s="256"/>
      <c r="E124" s="256"/>
      <c r="G124" s="256"/>
      <c r="H124" s="256"/>
    </row>
    <row r="125" spans="1:8" ht="12.75">
      <c r="A125" s="276"/>
      <c r="B125" s="256"/>
      <c r="C125" s="256"/>
      <c r="D125" s="256"/>
      <c r="E125" s="256"/>
      <c r="G125" s="256"/>
      <c r="H125" s="256"/>
    </row>
    <row r="126" spans="1:8" ht="12.75">
      <c r="A126" s="276"/>
      <c r="B126" s="256"/>
      <c r="C126" s="256"/>
      <c r="D126" s="256"/>
      <c r="E126" s="256"/>
      <c r="G126" s="256"/>
      <c r="H126" s="256"/>
    </row>
    <row r="127" spans="1:8" ht="12.75">
      <c r="A127" s="276"/>
      <c r="B127" s="256"/>
      <c r="C127" s="256"/>
      <c r="D127" s="256"/>
      <c r="E127" s="256"/>
      <c r="G127" s="256"/>
      <c r="H127" s="256"/>
    </row>
    <row r="128" spans="1:8" ht="12.75">
      <c r="A128" s="276"/>
      <c r="B128" s="256"/>
      <c r="C128" s="256"/>
      <c r="D128" s="256"/>
      <c r="E128" s="256"/>
      <c r="G128" s="256"/>
      <c r="H128" s="256"/>
    </row>
    <row r="129" spans="1:8" ht="12.75">
      <c r="A129" s="276"/>
      <c r="B129" s="256"/>
      <c r="C129" s="256"/>
      <c r="D129" s="256"/>
      <c r="E129" s="256"/>
      <c r="G129" s="256"/>
      <c r="H129" s="256"/>
    </row>
    <row r="130" spans="1:8" ht="12.75">
      <c r="A130" s="276"/>
      <c r="B130" s="256"/>
      <c r="C130" s="256"/>
      <c r="D130" s="256"/>
      <c r="E130" s="256"/>
      <c r="G130" s="256"/>
      <c r="H130" s="256"/>
    </row>
    <row r="131" spans="1:8" ht="12.75">
      <c r="A131" s="276"/>
      <c r="B131" s="256"/>
      <c r="C131" s="256"/>
      <c r="D131" s="256"/>
      <c r="E131" s="256"/>
      <c r="G131" s="256"/>
      <c r="H131" s="256"/>
    </row>
    <row r="132" spans="1:8" ht="12.75">
      <c r="A132" s="276"/>
      <c r="B132" s="256"/>
      <c r="C132" s="256"/>
      <c r="D132" s="256"/>
      <c r="E132" s="256"/>
      <c r="G132" s="256"/>
      <c r="H132" s="256"/>
    </row>
    <row r="133" spans="1:8" ht="12.75">
      <c r="A133" s="276"/>
      <c r="B133" s="256"/>
      <c r="C133" s="256"/>
      <c r="D133" s="256"/>
      <c r="E133" s="256"/>
      <c r="G133" s="256"/>
      <c r="H133" s="256"/>
    </row>
    <row r="134" spans="1:8" ht="12.75">
      <c r="A134" s="276"/>
      <c r="B134" s="256"/>
      <c r="C134" s="256"/>
      <c r="D134" s="256"/>
      <c r="E134" s="256"/>
      <c r="G134" s="256"/>
      <c r="H134" s="256"/>
    </row>
    <row r="135" spans="1:8" ht="12.75">
      <c r="A135" s="276"/>
      <c r="B135" s="256"/>
      <c r="C135" s="256"/>
      <c r="D135" s="256"/>
      <c r="E135" s="256"/>
      <c r="G135" s="256"/>
      <c r="H135" s="256"/>
    </row>
    <row r="136" spans="1:8" ht="12.75">
      <c r="A136" s="276"/>
      <c r="B136" s="256"/>
      <c r="C136" s="256"/>
      <c r="D136" s="256"/>
      <c r="E136" s="256"/>
      <c r="G136" s="256"/>
      <c r="H136" s="256"/>
    </row>
    <row r="137" spans="1:8" ht="12.75">
      <c r="A137" s="276"/>
      <c r="B137" s="256"/>
      <c r="C137" s="256"/>
      <c r="D137" s="256"/>
      <c r="E137" s="256"/>
      <c r="G137" s="256"/>
      <c r="H137" s="256"/>
    </row>
    <row r="138" spans="1:8" ht="12.75">
      <c r="A138" s="276"/>
      <c r="B138" s="256"/>
      <c r="C138" s="256"/>
      <c r="D138" s="256"/>
      <c r="E138" s="256"/>
      <c r="G138" s="256"/>
      <c r="H138" s="256"/>
    </row>
    <row r="139" spans="1:8" ht="12.75">
      <c r="A139" s="276"/>
      <c r="B139" s="256"/>
      <c r="C139" s="256"/>
      <c r="D139" s="256"/>
      <c r="E139" s="256"/>
      <c r="G139" s="256"/>
      <c r="H139" s="256"/>
    </row>
    <row r="140" spans="1:8" ht="12.75">
      <c r="A140" s="276"/>
      <c r="B140" s="256"/>
      <c r="C140" s="256"/>
      <c r="D140" s="256"/>
      <c r="E140" s="256"/>
      <c r="G140" s="256"/>
      <c r="H140" s="256"/>
    </row>
    <row r="141" spans="1:8" ht="12.75">
      <c r="A141" s="276"/>
      <c r="B141" s="256"/>
      <c r="C141" s="256"/>
      <c r="D141" s="256"/>
      <c r="E141" s="256"/>
      <c r="G141" s="256"/>
      <c r="H141" s="256"/>
    </row>
    <row r="142" spans="1:8" ht="12.75">
      <c r="A142" s="276"/>
      <c r="B142" s="256"/>
      <c r="C142" s="256"/>
      <c r="D142" s="256"/>
      <c r="E142" s="256"/>
      <c r="G142" s="256"/>
      <c r="H142" s="256"/>
    </row>
    <row r="143" spans="1:8" ht="12.75">
      <c r="A143" s="276"/>
      <c r="B143" s="256"/>
      <c r="C143" s="256"/>
      <c r="D143" s="256"/>
      <c r="E143" s="256"/>
      <c r="G143" s="256"/>
      <c r="H143" s="256"/>
    </row>
    <row r="144" spans="1:8" ht="12.75">
      <c r="A144" s="276"/>
      <c r="B144" s="256"/>
      <c r="C144" s="256"/>
      <c r="D144" s="256"/>
      <c r="E144" s="256"/>
      <c r="G144" s="256"/>
      <c r="H144" s="256"/>
    </row>
    <row r="145" spans="1:8" ht="12.75">
      <c r="A145" s="276"/>
      <c r="B145" s="256"/>
      <c r="C145" s="256"/>
      <c r="D145" s="256"/>
      <c r="E145" s="256"/>
      <c r="G145" s="256"/>
      <c r="H145" s="256"/>
    </row>
    <row r="146" spans="1:8" ht="12.75">
      <c r="A146" s="276"/>
      <c r="B146" s="256"/>
      <c r="C146" s="256"/>
      <c r="D146" s="256"/>
      <c r="E146" s="256"/>
      <c r="G146" s="256"/>
      <c r="H146" s="256"/>
    </row>
    <row r="147" spans="1:8" ht="12.75">
      <c r="A147" s="276"/>
      <c r="B147" s="256"/>
      <c r="C147" s="256"/>
      <c r="D147" s="256"/>
      <c r="E147" s="256"/>
      <c r="G147" s="256"/>
      <c r="H147" s="256"/>
    </row>
    <row r="148" spans="1:8" ht="12.75">
      <c r="A148" s="276"/>
      <c r="B148" s="256"/>
      <c r="C148" s="256"/>
      <c r="D148" s="256"/>
      <c r="E148" s="256"/>
      <c r="G148" s="256"/>
      <c r="H148" s="256"/>
    </row>
    <row r="149" spans="1:8" ht="12.75">
      <c r="A149" s="276"/>
      <c r="B149" s="256"/>
      <c r="C149" s="256"/>
      <c r="D149" s="256"/>
      <c r="E149" s="256"/>
      <c r="G149" s="256"/>
      <c r="H149" s="256"/>
    </row>
    <row r="150" spans="1:8" ht="12.75">
      <c r="A150" s="276"/>
      <c r="B150" s="256"/>
      <c r="C150" s="256"/>
      <c r="D150" s="256"/>
      <c r="E150" s="256"/>
      <c r="G150" s="256"/>
      <c r="H150" s="256"/>
    </row>
    <row r="151" spans="1:8" ht="12.75">
      <c r="A151" s="276"/>
      <c r="B151" s="256"/>
      <c r="C151" s="256"/>
      <c r="D151" s="256"/>
      <c r="E151" s="256"/>
      <c r="G151" s="256"/>
      <c r="H151" s="256"/>
    </row>
    <row r="152" spans="1:8" ht="12.75">
      <c r="A152" s="276"/>
      <c r="B152" s="256"/>
      <c r="C152" s="256"/>
      <c r="D152" s="256"/>
      <c r="E152" s="256"/>
      <c r="G152" s="256"/>
      <c r="H152" s="256"/>
    </row>
    <row r="153" spans="1:8" ht="12.75">
      <c r="A153" s="276"/>
      <c r="B153" s="256"/>
      <c r="C153" s="256"/>
      <c r="D153" s="256"/>
      <c r="E153" s="256"/>
      <c r="G153" s="256"/>
      <c r="H153" s="256"/>
    </row>
    <row r="154" spans="1:8" ht="12.75">
      <c r="A154" s="276"/>
      <c r="B154" s="256"/>
      <c r="C154" s="256"/>
      <c r="D154" s="256"/>
      <c r="E154" s="256"/>
      <c r="G154" s="256"/>
      <c r="H154" s="256"/>
    </row>
    <row r="155" spans="1:8" ht="12.75">
      <c r="A155" s="276"/>
      <c r="B155" s="256"/>
      <c r="C155" s="256"/>
      <c r="D155" s="256"/>
      <c r="E155" s="256"/>
      <c r="G155" s="256"/>
      <c r="H155" s="256"/>
    </row>
    <row r="156" spans="1:8" ht="12.75">
      <c r="A156" s="276"/>
      <c r="B156" s="256"/>
      <c r="C156" s="256"/>
      <c r="D156" s="256"/>
      <c r="E156" s="256"/>
      <c r="G156" s="256"/>
      <c r="H156" s="256"/>
    </row>
    <row r="157" spans="1:8" ht="12.75">
      <c r="A157" s="276"/>
      <c r="B157" s="256"/>
      <c r="C157" s="256"/>
      <c r="D157" s="256"/>
      <c r="E157" s="256"/>
      <c r="G157" s="256"/>
      <c r="H157" s="256"/>
    </row>
    <row r="158" spans="1:8" ht="12.75">
      <c r="A158" s="276"/>
      <c r="B158" s="256"/>
      <c r="C158" s="256"/>
      <c r="D158" s="256"/>
      <c r="E158" s="256"/>
      <c r="G158" s="256"/>
      <c r="H158" s="256"/>
    </row>
    <row r="159" spans="1:8" ht="12.75">
      <c r="A159" s="276"/>
      <c r="B159" s="256"/>
      <c r="C159" s="256"/>
      <c r="D159" s="256"/>
      <c r="E159" s="256"/>
      <c r="G159" s="256"/>
      <c r="H159" s="256"/>
    </row>
    <row r="160" spans="1:8" ht="12.75">
      <c r="A160" s="276"/>
      <c r="B160" s="256"/>
      <c r="C160" s="256"/>
      <c r="D160" s="256"/>
      <c r="E160" s="256"/>
      <c r="G160" s="256"/>
      <c r="H160" s="256"/>
    </row>
    <row r="161" spans="1:8" ht="12.75">
      <c r="A161" s="276"/>
      <c r="B161" s="256"/>
      <c r="C161" s="256"/>
      <c r="D161" s="256"/>
      <c r="E161" s="256"/>
      <c r="G161" s="256"/>
      <c r="H161" s="256"/>
    </row>
    <row r="162" spans="1:8" ht="12.75">
      <c r="A162" s="276"/>
      <c r="B162" s="256"/>
      <c r="C162" s="256"/>
      <c r="D162" s="256"/>
      <c r="E162" s="256"/>
      <c r="G162" s="256"/>
      <c r="H162" s="256"/>
    </row>
    <row r="163" spans="1:8" ht="12.75">
      <c r="A163" s="276"/>
      <c r="B163" s="256"/>
      <c r="C163" s="256"/>
      <c r="D163" s="256"/>
      <c r="E163" s="256"/>
      <c r="G163" s="256"/>
      <c r="H163" s="256"/>
    </row>
    <row r="164" spans="1:8" ht="12.75">
      <c r="A164" s="276"/>
      <c r="B164" s="256"/>
      <c r="C164" s="256"/>
      <c r="D164" s="256"/>
      <c r="E164" s="256"/>
      <c r="G164" s="256"/>
      <c r="H164" s="256"/>
    </row>
    <row r="165" spans="1:8" ht="12.75">
      <c r="A165" s="276"/>
      <c r="B165" s="256"/>
      <c r="C165" s="256"/>
      <c r="D165" s="256"/>
      <c r="E165" s="256"/>
      <c r="G165" s="256"/>
      <c r="H165" s="256"/>
    </row>
    <row r="166" spans="1:8" ht="12.75">
      <c r="A166" s="276"/>
      <c r="B166" s="256"/>
      <c r="C166" s="256"/>
      <c r="D166" s="256"/>
      <c r="E166" s="256"/>
      <c r="G166" s="256"/>
      <c r="H166" s="256"/>
    </row>
    <row r="167" spans="1:8" ht="12.75">
      <c r="A167" s="276"/>
      <c r="B167" s="256"/>
      <c r="C167" s="256"/>
      <c r="D167" s="256"/>
      <c r="E167" s="256"/>
      <c r="G167" s="256"/>
      <c r="H167" s="256"/>
    </row>
    <row r="168" spans="1:8" ht="12.75">
      <c r="A168" s="276"/>
      <c r="B168" s="256"/>
      <c r="C168" s="256"/>
      <c r="D168" s="256"/>
      <c r="E168" s="256"/>
      <c r="G168" s="256"/>
      <c r="H168" s="256"/>
    </row>
    <row r="169" spans="1:8" ht="12.75">
      <c r="A169" s="276"/>
      <c r="B169" s="256"/>
      <c r="C169" s="256"/>
      <c r="D169" s="256"/>
      <c r="E169" s="256"/>
      <c r="G169" s="256"/>
      <c r="H169" s="256"/>
    </row>
    <row r="170" spans="1:8" ht="12.75">
      <c r="A170" s="276"/>
      <c r="B170" s="256"/>
      <c r="C170" s="256"/>
      <c r="D170" s="256"/>
      <c r="E170" s="256"/>
      <c r="G170" s="256"/>
      <c r="H170" s="256"/>
    </row>
    <row r="171" spans="1:8" ht="12.75">
      <c r="A171" s="276"/>
      <c r="B171" s="256"/>
      <c r="C171" s="256"/>
      <c r="D171" s="256"/>
      <c r="E171" s="256"/>
      <c r="G171" s="256"/>
      <c r="H171" s="256"/>
    </row>
    <row r="172" spans="1:8" ht="12.75">
      <c r="A172" s="276"/>
      <c r="B172" s="256"/>
      <c r="C172" s="256"/>
      <c r="D172" s="256"/>
      <c r="E172" s="256"/>
      <c r="G172" s="256"/>
      <c r="H172" s="256"/>
    </row>
    <row r="173" spans="1:8" ht="12.75">
      <c r="A173" s="276"/>
      <c r="B173" s="256"/>
      <c r="C173" s="256"/>
      <c r="D173" s="256"/>
      <c r="E173" s="256"/>
      <c r="G173" s="256"/>
      <c r="H173" s="256"/>
    </row>
    <row r="174" spans="1:8" ht="12.75">
      <c r="A174" s="276"/>
      <c r="B174" s="256"/>
      <c r="C174" s="256"/>
      <c r="D174" s="256"/>
      <c r="E174" s="256"/>
      <c r="G174" s="256"/>
      <c r="H174" s="256"/>
    </row>
    <row r="175" spans="1:8" ht="12.75">
      <c r="A175" s="276"/>
      <c r="B175" s="256"/>
      <c r="C175" s="256"/>
      <c r="D175" s="256"/>
      <c r="E175" s="256"/>
      <c r="G175" s="256"/>
      <c r="H175" s="256"/>
    </row>
    <row r="176" spans="1:8" ht="12.75">
      <c r="A176" s="276"/>
      <c r="B176" s="256"/>
      <c r="C176" s="256"/>
      <c r="D176" s="256"/>
      <c r="E176" s="256"/>
      <c r="G176" s="256"/>
      <c r="H176" s="256"/>
    </row>
    <row r="177" spans="1:8" ht="12.75">
      <c r="A177" s="276"/>
      <c r="B177" s="256"/>
      <c r="C177" s="256"/>
      <c r="D177" s="256"/>
      <c r="E177" s="256"/>
      <c r="G177" s="256"/>
      <c r="H177" s="256"/>
    </row>
    <row r="178" spans="1:8" ht="12.75">
      <c r="A178" s="276"/>
      <c r="B178" s="256"/>
      <c r="C178" s="256"/>
      <c r="D178" s="256"/>
      <c r="E178" s="256"/>
      <c r="G178" s="256"/>
      <c r="H178" s="256"/>
    </row>
    <row r="179" spans="1:8" ht="12.75">
      <c r="A179" s="276"/>
      <c r="B179" s="256"/>
      <c r="C179" s="256"/>
      <c r="D179" s="256"/>
      <c r="E179" s="256"/>
      <c r="G179" s="256"/>
      <c r="H179" s="256"/>
    </row>
    <row r="180" spans="1:8" ht="12.75">
      <c r="A180" s="276"/>
      <c r="B180" s="256"/>
      <c r="C180" s="256"/>
      <c r="D180" s="256"/>
      <c r="E180" s="256"/>
      <c r="G180" s="256"/>
      <c r="H180" s="256"/>
    </row>
    <row r="181" spans="1:8" ht="12.75">
      <c r="A181" s="276"/>
      <c r="B181" s="256"/>
      <c r="C181" s="256"/>
      <c r="D181" s="256"/>
      <c r="E181" s="256"/>
      <c r="G181" s="256"/>
      <c r="H181" s="256"/>
    </row>
    <row r="182" spans="1:8" ht="12.75">
      <c r="A182" s="276"/>
      <c r="B182" s="256"/>
      <c r="C182" s="256"/>
      <c r="D182" s="256"/>
      <c r="E182" s="256"/>
      <c r="G182" s="256"/>
      <c r="H182" s="256"/>
    </row>
    <row r="183" spans="1:8" ht="12.75">
      <c r="A183" s="276"/>
      <c r="B183" s="256"/>
      <c r="C183" s="256"/>
      <c r="D183" s="256"/>
      <c r="E183" s="256"/>
      <c r="G183" s="256"/>
      <c r="H183" s="256"/>
    </row>
    <row r="184" spans="1:8" ht="12.75">
      <c r="A184" s="276"/>
      <c r="B184" s="256"/>
      <c r="C184" s="256"/>
      <c r="D184" s="256"/>
      <c r="E184" s="256"/>
      <c r="G184" s="256"/>
      <c r="H184" s="256"/>
    </row>
    <row r="185" spans="1:8" ht="12.75">
      <c r="A185" s="276"/>
      <c r="B185" s="256"/>
      <c r="C185" s="256"/>
      <c r="D185" s="256"/>
      <c r="E185" s="256"/>
      <c r="G185" s="256"/>
      <c r="H185" s="256"/>
    </row>
    <row r="186" spans="1:8" ht="12.75">
      <c r="A186" s="276"/>
      <c r="B186" s="256"/>
      <c r="C186" s="256"/>
      <c r="D186" s="256"/>
      <c r="E186" s="256"/>
      <c r="G186" s="256"/>
      <c r="H186" s="256"/>
    </row>
    <row r="187" spans="1:8" ht="12.75">
      <c r="A187" s="276"/>
      <c r="B187" s="256"/>
      <c r="C187" s="256"/>
      <c r="D187" s="256"/>
      <c r="E187" s="256"/>
      <c r="G187" s="256"/>
      <c r="H187" s="256"/>
    </row>
    <row r="188" spans="1:8" ht="12.75">
      <c r="A188" s="276"/>
      <c r="B188" s="256"/>
      <c r="C188" s="256"/>
      <c r="D188" s="256"/>
      <c r="E188" s="256"/>
      <c r="G188" s="256"/>
      <c r="H188" s="256"/>
    </row>
    <row r="189" spans="1:8" ht="12.75">
      <c r="A189" s="276"/>
      <c r="B189" s="256"/>
      <c r="C189" s="256"/>
      <c r="D189" s="256"/>
      <c r="E189" s="256"/>
      <c r="G189" s="256"/>
      <c r="H189" s="256"/>
    </row>
    <row r="190" spans="1:8" ht="12.75">
      <c r="A190" s="276"/>
      <c r="B190" s="256"/>
      <c r="C190" s="256"/>
      <c r="D190" s="256"/>
      <c r="E190" s="256"/>
      <c r="G190" s="256"/>
      <c r="H190" s="256"/>
    </row>
    <row r="191" spans="1:8" ht="12.75">
      <c r="A191" s="276"/>
      <c r="B191" s="256"/>
      <c r="C191" s="256"/>
      <c r="D191" s="256"/>
      <c r="E191" s="256"/>
      <c r="G191" s="256"/>
      <c r="H191" s="256"/>
    </row>
    <row r="192" spans="1:8" ht="12.75">
      <c r="A192" s="276"/>
      <c r="B192" s="256"/>
      <c r="C192" s="256"/>
      <c r="D192" s="256"/>
      <c r="E192" s="256"/>
      <c r="G192" s="256"/>
      <c r="H192" s="256"/>
    </row>
    <row r="193" spans="1:8" ht="12.75">
      <c r="A193" s="276"/>
      <c r="B193" s="256"/>
      <c r="C193" s="256"/>
      <c r="D193" s="256"/>
      <c r="E193" s="256"/>
      <c r="G193" s="256"/>
      <c r="H193" s="256"/>
    </row>
    <row r="194" spans="1:8" ht="12.75">
      <c r="A194" s="276"/>
      <c r="B194" s="256"/>
      <c r="C194" s="256"/>
      <c r="D194" s="256"/>
      <c r="E194" s="256"/>
      <c r="G194" s="256"/>
      <c r="H194" s="256"/>
    </row>
    <row r="195" spans="1:8" ht="12.75">
      <c r="A195" s="276"/>
      <c r="B195" s="256"/>
      <c r="C195" s="256"/>
      <c r="D195" s="256"/>
      <c r="E195" s="256"/>
      <c r="G195" s="256"/>
      <c r="H195" s="256"/>
    </row>
    <row r="196" spans="1:8" ht="12.75">
      <c r="A196" s="276"/>
      <c r="B196" s="256"/>
      <c r="C196" s="256"/>
      <c r="D196" s="256"/>
      <c r="E196" s="256"/>
      <c r="G196" s="256"/>
      <c r="H196" s="256"/>
    </row>
    <row r="197" spans="1:8" ht="12.75">
      <c r="A197" s="276"/>
      <c r="B197" s="256"/>
      <c r="C197" s="256"/>
      <c r="D197" s="256"/>
      <c r="E197" s="256"/>
      <c r="G197" s="256"/>
      <c r="H197" s="256"/>
    </row>
    <row r="198" spans="1:8" ht="12.75">
      <c r="A198" s="276"/>
      <c r="B198" s="256"/>
      <c r="C198" s="256"/>
      <c r="D198" s="256"/>
      <c r="E198" s="256"/>
      <c r="G198" s="256"/>
      <c r="H198" s="256"/>
    </row>
    <row r="199" spans="1:8" ht="12.75">
      <c r="A199" s="276"/>
      <c r="B199" s="256"/>
      <c r="C199" s="256"/>
      <c r="D199" s="256"/>
      <c r="E199" s="256"/>
      <c r="G199" s="256"/>
      <c r="H199" s="256"/>
    </row>
    <row r="200" spans="1:8" ht="12.75">
      <c r="A200" s="276"/>
      <c r="B200" s="256"/>
      <c r="C200" s="256"/>
      <c r="D200" s="256"/>
      <c r="E200" s="256"/>
      <c r="G200" s="256"/>
      <c r="H200" s="256"/>
    </row>
    <row r="201" spans="1:8" ht="12.75">
      <c r="A201" s="276"/>
      <c r="B201" s="256"/>
      <c r="C201" s="256"/>
      <c r="D201" s="256"/>
      <c r="E201" s="256"/>
      <c r="G201" s="256"/>
      <c r="H201" s="256"/>
    </row>
    <row r="202" spans="1:8" ht="12.75">
      <c r="A202" s="276"/>
      <c r="B202" s="256"/>
      <c r="C202" s="256"/>
      <c r="D202" s="256"/>
      <c r="E202" s="256"/>
      <c r="G202" s="256"/>
      <c r="H202" s="256"/>
    </row>
    <row r="203" spans="1:8" ht="12.75">
      <c r="A203" s="276"/>
      <c r="B203" s="256"/>
      <c r="C203" s="256"/>
      <c r="D203" s="256"/>
      <c r="E203" s="256"/>
      <c r="G203" s="256"/>
      <c r="H203" s="256"/>
    </row>
    <row r="204" spans="1:8" ht="12.75">
      <c r="A204" s="276"/>
      <c r="B204" s="256"/>
      <c r="C204" s="256"/>
      <c r="D204" s="256"/>
      <c r="E204" s="256"/>
      <c r="G204" s="256"/>
      <c r="H204" s="256"/>
    </row>
    <row r="205" spans="1:8" ht="12.75">
      <c r="A205" s="276"/>
      <c r="B205" s="256"/>
      <c r="C205" s="256"/>
      <c r="D205" s="256"/>
      <c r="E205" s="256"/>
      <c r="G205" s="256"/>
      <c r="H205" s="256"/>
    </row>
    <row r="206" spans="1:8" ht="12.75">
      <c r="A206" s="276"/>
      <c r="B206" s="256"/>
      <c r="C206" s="256"/>
      <c r="D206" s="256"/>
      <c r="E206" s="256"/>
      <c r="G206" s="256"/>
      <c r="H206" s="256"/>
    </row>
    <row r="207" spans="1:8" ht="12.75">
      <c r="A207" s="276"/>
      <c r="B207" s="256"/>
      <c r="C207" s="256"/>
      <c r="D207" s="256"/>
      <c r="E207" s="256"/>
      <c r="G207" s="256"/>
      <c r="H207" s="256"/>
    </row>
    <row r="208" spans="1:8" ht="12.75">
      <c r="A208" s="276"/>
      <c r="B208" s="256"/>
      <c r="C208" s="256"/>
      <c r="D208" s="256"/>
      <c r="E208" s="256"/>
      <c r="G208" s="256"/>
      <c r="H208" s="256"/>
    </row>
    <row r="209" spans="1:8" ht="12.75">
      <c r="A209" s="276"/>
      <c r="B209" s="256"/>
      <c r="C209" s="256"/>
      <c r="D209" s="256"/>
      <c r="E209" s="256"/>
      <c r="G209" s="256"/>
      <c r="H209" s="256"/>
    </row>
    <row r="210" spans="1:8" ht="12.75">
      <c r="A210" s="276"/>
      <c r="B210" s="256"/>
      <c r="C210" s="256"/>
      <c r="D210" s="256"/>
      <c r="E210" s="256"/>
      <c r="G210" s="256"/>
      <c r="H210" s="256"/>
    </row>
    <row r="211" spans="1:8" ht="12.75">
      <c r="A211" s="276"/>
      <c r="B211" s="256"/>
      <c r="C211" s="256"/>
      <c r="D211" s="256"/>
      <c r="E211" s="256"/>
      <c r="G211" s="256"/>
      <c r="H211" s="256"/>
    </row>
    <row r="212" spans="1:8" ht="12.75">
      <c r="A212" s="276"/>
      <c r="B212" s="256"/>
      <c r="C212" s="256"/>
      <c r="D212" s="256"/>
      <c r="E212" s="256"/>
      <c r="G212" s="256"/>
      <c r="H212" s="256"/>
    </row>
    <row r="213" spans="1:8" ht="12.75">
      <c r="A213" s="276"/>
      <c r="B213" s="256"/>
      <c r="C213" s="256"/>
      <c r="D213" s="256"/>
      <c r="E213" s="256"/>
      <c r="G213" s="256"/>
      <c r="H213" s="256"/>
    </row>
    <row r="214" spans="1:8" ht="12.75">
      <c r="A214" s="276"/>
      <c r="B214" s="256"/>
      <c r="C214" s="256"/>
      <c r="D214" s="256"/>
      <c r="E214" s="256"/>
      <c r="G214" s="256"/>
      <c r="H214" s="256"/>
    </row>
    <row r="215" spans="1:8" ht="12.75">
      <c r="A215" s="276"/>
      <c r="B215" s="256"/>
      <c r="C215" s="256"/>
      <c r="D215" s="256"/>
      <c r="E215" s="256"/>
      <c r="G215" s="256"/>
      <c r="H215" s="256"/>
    </row>
    <row r="216" spans="1:8" ht="12.75">
      <c r="A216" s="276"/>
      <c r="B216" s="256"/>
      <c r="C216" s="256"/>
      <c r="D216" s="256"/>
      <c r="E216" s="256"/>
      <c r="G216" s="256"/>
      <c r="H216" s="256"/>
    </row>
    <row r="217" spans="1:8" ht="12.75">
      <c r="A217" s="276"/>
      <c r="B217" s="256"/>
      <c r="C217" s="256"/>
      <c r="D217" s="256"/>
      <c r="E217" s="256"/>
      <c r="G217" s="256"/>
      <c r="H217" s="256"/>
    </row>
    <row r="218" spans="1:8" ht="12.75">
      <c r="A218" s="276"/>
      <c r="B218" s="256"/>
      <c r="C218" s="256"/>
      <c r="D218" s="256"/>
      <c r="E218" s="256"/>
      <c r="G218" s="256"/>
      <c r="H218" s="256"/>
    </row>
    <row r="219" spans="1:8" ht="12.75">
      <c r="A219" s="276"/>
      <c r="B219" s="256"/>
      <c r="C219" s="256"/>
      <c r="D219" s="256"/>
      <c r="E219" s="256"/>
      <c r="G219" s="256"/>
      <c r="H219" s="256"/>
    </row>
    <row r="220" spans="1:8" ht="12.75">
      <c r="A220" s="276"/>
      <c r="B220" s="256"/>
      <c r="C220" s="256"/>
      <c r="D220" s="256"/>
      <c r="E220" s="256"/>
      <c r="G220" s="256"/>
      <c r="H220" s="256"/>
    </row>
    <row r="221" spans="1:8" ht="12.75">
      <c r="A221" s="276"/>
      <c r="B221" s="256"/>
      <c r="C221" s="256"/>
      <c r="D221" s="256"/>
      <c r="E221" s="256"/>
      <c r="G221" s="256"/>
      <c r="H221" s="256"/>
    </row>
    <row r="222" spans="1:8" ht="12.75">
      <c r="A222" s="276"/>
      <c r="B222" s="256"/>
      <c r="C222" s="256"/>
      <c r="D222" s="256"/>
      <c r="E222" s="256"/>
      <c r="G222" s="256"/>
      <c r="H222" s="256"/>
    </row>
    <row r="223" spans="1:8" ht="12.75">
      <c r="A223" s="276"/>
      <c r="B223" s="256"/>
      <c r="C223" s="256"/>
      <c r="D223" s="256"/>
      <c r="E223" s="256"/>
      <c r="G223" s="256"/>
      <c r="H223" s="256"/>
    </row>
    <row r="224" spans="1:8" ht="12.75">
      <c r="A224" s="276"/>
      <c r="B224" s="256"/>
      <c r="C224" s="256"/>
      <c r="D224" s="256"/>
      <c r="E224" s="256"/>
      <c r="G224" s="256"/>
      <c r="H224" s="256"/>
    </row>
    <row r="225" spans="1:8" ht="12.75">
      <c r="A225" s="276"/>
      <c r="B225" s="256"/>
      <c r="C225" s="256"/>
      <c r="D225" s="256"/>
      <c r="E225" s="256"/>
      <c r="G225" s="256"/>
      <c r="H225" s="256"/>
    </row>
    <row r="226" spans="1:8" ht="12.75">
      <c r="A226" s="276"/>
      <c r="B226" s="256"/>
      <c r="C226" s="256"/>
      <c r="D226" s="256"/>
      <c r="E226" s="256"/>
      <c r="G226" s="256"/>
      <c r="H226" s="256"/>
    </row>
    <row r="227" spans="1:8" ht="12.75">
      <c r="A227" s="276"/>
      <c r="B227" s="256"/>
      <c r="C227" s="256"/>
      <c r="D227" s="256"/>
      <c r="E227" s="256"/>
      <c r="G227" s="256"/>
      <c r="H227" s="256"/>
    </row>
    <row r="228" spans="1:8" ht="12.75">
      <c r="A228" s="276"/>
      <c r="B228" s="256"/>
      <c r="C228" s="256"/>
      <c r="D228" s="256"/>
      <c r="E228" s="256"/>
      <c r="G228" s="256"/>
      <c r="H228" s="256"/>
    </row>
    <row r="229" spans="1:8" ht="12.75">
      <c r="A229" s="276"/>
      <c r="B229" s="256"/>
      <c r="C229" s="256"/>
      <c r="D229" s="256"/>
      <c r="E229" s="256"/>
      <c r="G229" s="256"/>
      <c r="H229" s="256"/>
    </row>
    <row r="230" spans="1:8" ht="12.75">
      <c r="A230" s="276"/>
      <c r="B230" s="256"/>
      <c r="C230" s="256"/>
      <c r="D230" s="256"/>
      <c r="E230" s="256"/>
      <c r="G230" s="256"/>
      <c r="H230" s="256"/>
    </row>
    <row r="231" spans="1:8" ht="12.75">
      <c r="A231" s="276"/>
      <c r="B231" s="256"/>
      <c r="C231" s="256"/>
      <c r="D231" s="256"/>
      <c r="E231" s="256"/>
      <c r="G231" s="256"/>
      <c r="H231" s="256"/>
    </row>
    <row r="232" spans="1:8" ht="12.75">
      <c r="A232" s="276"/>
      <c r="B232" s="256"/>
      <c r="C232" s="256"/>
      <c r="D232" s="256"/>
      <c r="E232" s="256"/>
      <c r="G232" s="256"/>
      <c r="H232" s="256"/>
    </row>
    <row r="233" spans="1:8" ht="12.75">
      <c r="A233" s="276"/>
      <c r="B233" s="256"/>
      <c r="C233" s="256"/>
      <c r="D233" s="256"/>
      <c r="E233" s="256"/>
      <c r="G233" s="256"/>
      <c r="H233" s="256"/>
    </row>
    <row r="234" spans="1:8" ht="12.75">
      <c r="A234" s="276"/>
      <c r="B234" s="256"/>
      <c r="C234" s="256"/>
      <c r="D234" s="256"/>
      <c r="E234" s="256"/>
      <c r="G234" s="256"/>
      <c r="H234" s="256"/>
    </row>
    <row r="235" spans="1:8" ht="12.75">
      <c r="A235" s="276"/>
      <c r="B235" s="256"/>
      <c r="C235" s="256"/>
      <c r="D235" s="256"/>
      <c r="E235" s="256"/>
      <c r="G235" s="256"/>
      <c r="H235" s="256"/>
    </row>
    <row r="236" spans="1:8" ht="12.75">
      <c r="A236" s="276"/>
      <c r="B236" s="256"/>
      <c r="C236" s="256"/>
      <c r="D236" s="256"/>
      <c r="E236" s="256"/>
      <c r="G236" s="256"/>
      <c r="H236" s="256"/>
    </row>
    <row r="237" spans="1:8" ht="12.75">
      <c r="A237" s="276"/>
      <c r="B237" s="256"/>
      <c r="C237" s="256"/>
      <c r="D237" s="256"/>
      <c r="E237" s="256"/>
      <c r="G237" s="256"/>
      <c r="H237" s="256"/>
    </row>
    <row r="238" spans="1:8" ht="12.75">
      <c r="A238" s="276"/>
      <c r="B238" s="256"/>
      <c r="C238" s="256"/>
      <c r="D238" s="256"/>
      <c r="E238" s="256"/>
      <c r="G238" s="256"/>
      <c r="H238" s="256"/>
    </row>
    <row r="239" spans="1:8" ht="12.75">
      <c r="A239" s="276"/>
      <c r="B239" s="256"/>
      <c r="C239" s="256"/>
      <c r="D239" s="256"/>
      <c r="E239" s="256"/>
      <c r="G239" s="256"/>
      <c r="H239" s="256"/>
    </row>
    <row r="240" spans="1:8" ht="12.75">
      <c r="A240" s="276"/>
      <c r="B240" s="256"/>
      <c r="C240" s="256"/>
      <c r="D240" s="256"/>
      <c r="E240" s="256"/>
      <c r="G240" s="256"/>
      <c r="H240" s="256"/>
    </row>
    <row r="241" spans="1:8" ht="12.75">
      <c r="A241" s="276"/>
      <c r="B241" s="256"/>
      <c r="C241" s="256"/>
      <c r="D241" s="256"/>
      <c r="E241" s="256"/>
      <c r="G241" s="256"/>
      <c r="H241" s="256"/>
    </row>
    <row r="242" spans="1:8" ht="12.75">
      <c r="A242" s="276"/>
      <c r="B242" s="256"/>
      <c r="C242" s="256"/>
      <c r="D242" s="256"/>
      <c r="E242" s="256"/>
      <c r="G242" s="256"/>
      <c r="H242" s="256"/>
    </row>
    <row r="243" spans="1:8" ht="12.75">
      <c r="A243" s="276"/>
      <c r="B243" s="256"/>
      <c r="C243" s="256"/>
      <c r="D243" s="256"/>
      <c r="E243" s="256"/>
      <c r="G243" s="256"/>
      <c r="H243" s="256"/>
    </row>
    <row r="244" spans="1:8" ht="12.75">
      <c r="A244" s="276"/>
      <c r="B244" s="256"/>
      <c r="C244" s="256"/>
      <c r="D244" s="256"/>
      <c r="E244" s="256"/>
      <c r="G244" s="256"/>
      <c r="H244" s="256"/>
    </row>
    <row r="245" spans="1:8" ht="12.75">
      <c r="A245" s="276"/>
      <c r="B245" s="256"/>
      <c r="C245" s="256"/>
      <c r="D245" s="256"/>
      <c r="E245" s="256"/>
      <c r="G245" s="256"/>
      <c r="H245" s="256"/>
    </row>
    <row r="246" spans="1:8" ht="12.75">
      <c r="A246" s="276"/>
      <c r="B246" s="256"/>
      <c r="C246" s="256"/>
      <c r="D246" s="256"/>
      <c r="E246" s="256"/>
      <c r="G246" s="256"/>
      <c r="H246" s="256"/>
    </row>
    <row r="247" spans="1:8" ht="12.75">
      <c r="A247" s="276"/>
      <c r="B247" s="256"/>
      <c r="C247" s="256"/>
      <c r="D247" s="256"/>
      <c r="E247" s="256"/>
      <c r="G247" s="256"/>
      <c r="H247" s="256"/>
    </row>
    <row r="248" spans="1:8" ht="12.75">
      <c r="A248" s="276"/>
      <c r="B248" s="256"/>
      <c r="C248" s="256"/>
      <c r="D248" s="256"/>
      <c r="E248" s="256"/>
      <c r="G248" s="256"/>
      <c r="H248" s="256"/>
    </row>
    <row r="249" spans="1:8" ht="12.75">
      <c r="A249" s="276"/>
      <c r="B249" s="256"/>
      <c r="C249" s="256"/>
      <c r="D249" s="256"/>
      <c r="E249" s="256"/>
      <c r="G249" s="256"/>
      <c r="H249" s="256"/>
    </row>
    <row r="250" spans="1:8" ht="12.75">
      <c r="A250" s="276"/>
      <c r="B250" s="256"/>
      <c r="C250" s="256"/>
      <c r="D250" s="256"/>
      <c r="E250" s="256"/>
      <c r="G250" s="256"/>
      <c r="H250" s="256"/>
    </row>
    <row r="251" spans="1:8" ht="12.75">
      <c r="A251" s="276"/>
      <c r="B251" s="256"/>
      <c r="C251" s="256"/>
      <c r="D251" s="256"/>
      <c r="E251" s="256"/>
      <c r="G251" s="256"/>
      <c r="H251" s="256"/>
    </row>
    <row r="252" spans="1:8" ht="12.75">
      <c r="A252" s="276"/>
      <c r="B252" s="256"/>
      <c r="C252" s="256"/>
      <c r="D252" s="256"/>
      <c r="E252" s="256"/>
      <c r="G252" s="256"/>
      <c r="H252" s="256"/>
    </row>
    <row r="253" spans="1:8" ht="12.75">
      <c r="A253" s="276"/>
      <c r="B253" s="256"/>
      <c r="C253" s="256"/>
      <c r="D253" s="256"/>
      <c r="E253" s="256"/>
      <c r="G253" s="256"/>
      <c r="H253" s="256"/>
    </row>
    <row r="254" spans="1:8" ht="12.75">
      <c r="A254" s="276"/>
      <c r="B254" s="256"/>
      <c r="C254" s="256"/>
      <c r="D254" s="256"/>
      <c r="E254" s="256"/>
      <c r="G254" s="256"/>
      <c r="H254" s="256"/>
    </row>
    <row r="255" spans="1:8" ht="12.75">
      <c r="A255" s="276"/>
      <c r="B255" s="256"/>
      <c r="C255" s="256"/>
      <c r="D255" s="256"/>
      <c r="E255" s="256"/>
      <c r="G255" s="256"/>
      <c r="H255" s="256"/>
    </row>
    <row r="256" spans="1:8" ht="12.75">
      <c r="A256" s="276"/>
      <c r="B256" s="256"/>
      <c r="C256" s="256"/>
      <c r="D256" s="256"/>
      <c r="E256" s="256"/>
      <c r="G256" s="256"/>
      <c r="H256" s="256"/>
    </row>
    <row r="257" spans="1:8" ht="12.75">
      <c r="A257" s="276"/>
      <c r="B257" s="256"/>
      <c r="C257" s="256"/>
      <c r="D257" s="256"/>
      <c r="E257" s="256"/>
      <c r="G257" s="256"/>
      <c r="H257" s="256"/>
    </row>
    <row r="258" spans="1:8" ht="12.75">
      <c r="A258" s="276"/>
      <c r="B258" s="256"/>
      <c r="C258" s="256"/>
      <c r="D258" s="256"/>
      <c r="E258" s="256"/>
      <c r="G258" s="256"/>
      <c r="H258" s="256"/>
    </row>
    <row r="259" spans="1:8" ht="12.75">
      <c r="A259" s="276"/>
      <c r="B259" s="256"/>
      <c r="C259" s="256"/>
      <c r="D259" s="256"/>
      <c r="E259" s="256"/>
      <c r="G259" s="256"/>
      <c r="H259" s="256"/>
    </row>
    <row r="260" spans="1:8" ht="12.75">
      <c r="A260" s="276"/>
      <c r="B260" s="256"/>
      <c r="C260" s="256"/>
      <c r="D260" s="256"/>
      <c r="E260" s="256"/>
      <c r="G260" s="256"/>
      <c r="H260" s="256"/>
    </row>
    <row r="261" spans="1:8" ht="12.75">
      <c r="A261" s="276"/>
      <c r="B261" s="256"/>
      <c r="C261" s="256"/>
      <c r="D261" s="256"/>
      <c r="E261" s="256"/>
      <c r="G261" s="256"/>
      <c r="H261" s="256"/>
    </row>
    <row r="262" spans="1:8" ht="12.75">
      <c r="A262" s="276"/>
      <c r="B262" s="256"/>
      <c r="C262" s="256"/>
      <c r="D262" s="256"/>
      <c r="E262" s="256"/>
      <c r="G262" s="256"/>
      <c r="H262" s="256"/>
    </row>
    <row r="263" spans="1:8" ht="12.75">
      <c r="A263" s="276"/>
      <c r="B263" s="256"/>
      <c r="C263" s="256"/>
      <c r="D263" s="256"/>
      <c r="E263" s="256"/>
      <c r="G263" s="256"/>
      <c r="H263" s="256"/>
    </row>
    <row r="264" spans="1:8" ht="12.75">
      <c r="A264" s="276"/>
      <c r="B264" s="256"/>
      <c r="C264" s="256"/>
      <c r="D264" s="256"/>
      <c r="E264" s="256"/>
      <c r="G264" s="256"/>
      <c r="H264" s="256"/>
    </row>
    <row r="265" spans="1:8" ht="12.75">
      <c r="A265" s="276"/>
      <c r="B265" s="256"/>
      <c r="C265" s="256"/>
      <c r="D265" s="256"/>
      <c r="E265" s="256"/>
      <c r="G265" s="256"/>
      <c r="H265" s="256"/>
    </row>
    <row r="266" spans="1:8" ht="12.75">
      <c r="A266" s="276"/>
      <c r="B266" s="256"/>
      <c r="C266" s="256"/>
      <c r="D266" s="256"/>
      <c r="E266" s="256"/>
      <c r="G266" s="256"/>
      <c r="H266" s="256"/>
    </row>
    <row r="267" spans="1:8" ht="12.75">
      <c r="A267" s="276"/>
      <c r="B267" s="256"/>
      <c r="C267" s="256"/>
      <c r="D267" s="256"/>
      <c r="E267" s="256"/>
      <c r="G267" s="256"/>
      <c r="H267" s="256"/>
    </row>
    <row r="268" spans="1:8" ht="12.75">
      <c r="A268" s="276"/>
      <c r="B268" s="256"/>
      <c r="C268" s="256"/>
      <c r="D268" s="256"/>
      <c r="E268" s="256"/>
      <c r="G268" s="256"/>
      <c r="H268" s="256"/>
    </row>
    <row r="269" spans="1:8" ht="12.75">
      <c r="A269" s="276"/>
      <c r="B269" s="256"/>
      <c r="C269" s="256"/>
      <c r="D269" s="256"/>
      <c r="E269" s="256"/>
      <c r="G269" s="256"/>
      <c r="H269" s="256"/>
    </row>
    <row r="270" spans="1:8" ht="12.75">
      <c r="A270" s="276"/>
      <c r="B270" s="256"/>
      <c r="C270" s="256"/>
      <c r="D270" s="256"/>
      <c r="E270" s="256"/>
      <c r="G270" s="256"/>
      <c r="H270" s="256"/>
    </row>
    <row r="271" spans="1:8" ht="12.75">
      <c r="A271" s="276"/>
      <c r="B271" s="256"/>
      <c r="C271" s="256"/>
      <c r="D271" s="256"/>
      <c r="E271" s="256"/>
      <c r="G271" s="256"/>
      <c r="H271" s="256"/>
    </row>
    <row r="272" spans="1:8" ht="12.75">
      <c r="A272" s="276"/>
      <c r="B272" s="256"/>
      <c r="C272" s="256"/>
      <c r="D272" s="256"/>
      <c r="E272" s="256"/>
      <c r="G272" s="256"/>
      <c r="H272" s="256"/>
    </row>
    <row r="273" spans="1:8" ht="12.75">
      <c r="A273" s="276"/>
      <c r="B273" s="256"/>
      <c r="C273" s="256"/>
      <c r="D273" s="256"/>
      <c r="E273" s="256"/>
      <c r="G273" s="256"/>
      <c r="H273" s="256"/>
    </row>
    <row r="274" spans="1:8" ht="12.75">
      <c r="A274" s="276"/>
      <c r="B274" s="256"/>
      <c r="C274" s="256"/>
      <c r="D274" s="256"/>
      <c r="E274" s="256"/>
      <c r="G274" s="256"/>
      <c r="H274" s="256"/>
    </row>
    <row r="275" spans="1:8" ht="12.75">
      <c r="A275" s="276"/>
      <c r="B275" s="256"/>
      <c r="C275" s="256"/>
      <c r="D275" s="256"/>
      <c r="E275" s="256"/>
      <c r="G275" s="256"/>
      <c r="H275" s="256"/>
    </row>
    <row r="276" spans="1:8" ht="12.75">
      <c r="A276" s="276"/>
      <c r="B276" s="256"/>
      <c r="C276" s="256"/>
      <c r="D276" s="256"/>
      <c r="E276" s="256"/>
      <c r="G276" s="256"/>
      <c r="H276" s="256"/>
    </row>
    <row r="277" spans="1:8" ht="12.75">
      <c r="A277" s="276"/>
      <c r="B277" s="256"/>
      <c r="C277" s="256"/>
      <c r="D277" s="256"/>
      <c r="E277" s="256"/>
      <c r="G277" s="256"/>
      <c r="H277" s="256"/>
    </row>
    <row r="278" spans="1:8" ht="12.75">
      <c r="A278" s="276"/>
      <c r="B278" s="256"/>
      <c r="C278" s="256"/>
      <c r="D278" s="256"/>
      <c r="E278" s="256"/>
      <c r="G278" s="256"/>
      <c r="H278" s="256"/>
    </row>
    <row r="279" spans="1:8" ht="12.75">
      <c r="A279" s="276"/>
      <c r="B279" s="256"/>
      <c r="C279" s="256"/>
      <c r="D279" s="256"/>
      <c r="E279" s="256"/>
      <c r="G279" s="256"/>
      <c r="H279" s="256"/>
    </row>
    <row r="280" spans="1:8" ht="12.75">
      <c r="A280" s="276"/>
      <c r="B280" s="256"/>
      <c r="C280" s="256"/>
      <c r="D280" s="256"/>
      <c r="E280" s="256"/>
      <c r="G280" s="256"/>
      <c r="H280" s="256"/>
    </row>
    <row r="281" spans="1:8" ht="12.75">
      <c r="A281" s="276"/>
      <c r="B281" s="256"/>
      <c r="C281" s="256"/>
      <c r="D281" s="256"/>
      <c r="E281" s="256"/>
      <c r="G281" s="256"/>
      <c r="H281" s="256"/>
    </row>
    <row r="282" spans="1:8" ht="12.75">
      <c r="A282" s="276"/>
      <c r="B282" s="256"/>
      <c r="C282" s="256"/>
      <c r="D282" s="256"/>
      <c r="E282" s="256"/>
      <c r="G282" s="256"/>
      <c r="H282" s="256"/>
    </row>
    <row r="283" spans="1:8" ht="12.75">
      <c r="A283" s="276"/>
      <c r="B283" s="256"/>
      <c r="C283" s="256"/>
      <c r="D283" s="256"/>
      <c r="E283" s="256"/>
      <c r="G283" s="256"/>
      <c r="H283" s="256"/>
    </row>
    <row r="284" spans="1:8" ht="12.75">
      <c r="A284" s="276"/>
      <c r="B284" s="256"/>
      <c r="C284" s="256"/>
      <c r="D284" s="256"/>
      <c r="E284" s="256"/>
      <c r="G284" s="256"/>
      <c r="H284" s="256"/>
    </row>
    <row r="285" spans="1:8" ht="12.75">
      <c r="A285" s="276"/>
      <c r="B285" s="256"/>
      <c r="C285" s="256"/>
      <c r="D285" s="256"/>
      <c r="E285" s="256"/>
      <c r="G285" s="256"/>
      <c r="H285" s="256"/>
    </row>
    <row r="286" spans="1:8" ht="12.75">
      <c r="A286" s="276"/>
      <c r="B286" s="256"/>
      <c r="C286" s="256"/>
      <c r="D286" s="256"/>
      <c r="E286" s="256"/>
      <c r="G286" s="256"/>
      <c r="H286" s="256"/>
    </row>
    <row r="287" spans="1:8" ht="12.75">
      <c r="A287" s="276"/>
      <c r="B287" s="256"/>
      <c r="C287" s="256"/>
      <c r="D287" s="256"/>
      <c r="E287" s="256"/>
      <c r="G287" s="256"/>
      <c r="H287" s="256"/>
    </row>
    <row r="288" spans="1:8" ht="12.75">
      <c r="A288" s="276"/>
      <c r="B288" s="256"/>
      <c r="C288" s="256"/>
      <c r="D288" s="256"/>
      <c r="E288" s="256"/>
      <c r="G288" s="256"/>
      <c r="H288" s="256"/>
    </row>
    <row r="289" spans="1:8" ht="12.75">
      <c r="A289" s="276"/>
      <c r="B289" s="256"/>
      <c r="C289" s="256"/>
      <c r="D289" s="256"/>
      <c r="E289" s="256"/>
      <c r="G289" s="256"/>
      <c r="H289" s="256"/>
    </row>
    <row r="290" spans="1:8" ht="12.75">
      <c r="A290" s="276"/>
      <c r="B290" s="256"/>
      <c r="C290" s="256"/>
      <c r="D290" s="256"/>
      <c r="E290" s="256"/>
      <c r="G290" s="256"/>
      <c r="H290" s="256"/>
    </row>
    <row r="291" spans="1:8" ht="12.75">
      <c r="A291" s="276"/>
      <c r="B291" s="256"/>
      <c r="C291" s="256"/>
      <c r="D291" s="256"/>
      <c r="E291" s="256"/>
      <c r="G291" s="256"/>
      <c r="H291" s="256"/>
    </row>
    <row r="292" spans="1:8" ht="12.75">
      <c r="A292" s="276"/>
      <c r="B292" s="256"/>
      <c r="C292" s="256"/>
      <c r="D292" s="256"/>
      <c r="E292" s="256"/>
      <c r="G292" s="256"/>
      <c r="H292" s="256"/>
    </row>
    <row r="293" spans="1:8" ht="12.75">
      <c r="A293" s="276"/>
      <c r="B293" s="256"/>
      <c r="C293" s="256"/>
      <c r="D293" s="256"/>
      <c r="E293" s="256"/>
      <c r="G293" s="256"/>
      <c r="H293" s="256"/>
    </row>
    <row r="294" spans="1:8" ht="12.75">
      <c r="A294" s="276"/>
      <c r="B294" s="256"/>
      <c r="C294" s="256"/>
      <c r="D294" s="256"/>
      <c r="E294" s="256"/>
      <c r="G294" s="256"/>
      <c r="H294" s="256"/>
    </row>
    <row r="295" spans="1:8" ht="12.75">
      <c r="A295" s="276"/>
      <c r="B295" s="256"/>
      <c r="C295" s="256"/>
      <c r="D295" s="256"/>
      <c r="E295" s="256"/>
      <c r="G295" s="256"/>
      <c r="H295" s="256"/>
    </row>
    <row r="296" spans="1:8" ht="12.75">
      <c r="A296" s="276"/>
      <c r="B296" s="256"/>
      <c r="C296" s="256"/>
      <c r="D296" s="256"/>
      <c r="E296" s="256"/>
      <c r="G296" s="256"/>
      <c r="H296" s="256"/>
    </row>
    <row r="297" spans="1:8" ht="12.75">
      <c r="A297" s="276"/>
      <c r="B297" s="256"/>
      <c r="C297" s="256"/>
      <c r="D297" s="256"/>
      <c r="E297" s="256"/>
      <c r="G297" s="256"/>
      <c r="H297" s="256"/>
    </row>
    <row r="298" spans="1:8" ht="12.75">
      <c r="A298" s="276"/>
      <c r="B298" s="256"/>
      <c r="C298" s="256"/>
      <c r="D298" s="256"/>
      <c r="E298" s="256"/>
      <c r="G298" s="256"/>
      <c r="H298" s="256"/>
    </row>
    <row r="299" spans="1:8" ht="12.75">
      <c r="A299" s="276"/>
      <c r="B299" s="256"/>
      <c r="C299" s="256"/>
      <c r="D299" s="256"/>
      <c r="E299" s="256"/>
      <c r="G299" s="256"/>
      <c r="H299" s="256"/>
    </row>
    <row r="300" spans="1:8" ht="12.75">
      <c r="A300" s="276"/>
      <c r="B300" s="256"/>
      <c r="C300" s="256"/>
      <c r="D300" s="256"/>
      <c r="E300" s="256"/>
      <c r="G300" s="256"/>
      <c r="H300" s="256"/>
    </row>
    <row r="301" spans="1:8" ht="12.75">
      <c r="A301" s="276"/>
      <c r="B301" s="256"/>
      <c r="C301" s="256"/>
      <c r="D301" s="256"/>
      <c r="E301" s="256"/>
      <c r="G301" s="256"/>
      <c r="H301" s="256"/>
    </row>
    <row r="302" spans="1:8" ht="12.75">
      <c r="A302" s="276"/>
      <c r="B302" s="256"/>
      <c r="C302" s="256"/>
      <c r="D302" s="256"/>
      <c r="E302" s="256"/>
      <c r="G302" s="256"/>
      <c r="H302" s="256"/>
    </row>
    <row r="303" spans="1:8" ht="12.75">
      <c r="A303" s="276"/>
      <c r="B303" s="256"/>
      <c r="C303" s="256"/>
      <c r="D303" s="256"/>
      <c r="E303" s="256"/>
      <c r="G303" s="256"/>
      <c r="H303" s="256"/>
    </row>
    <row r="304" spans="1:8" ht="12.75">
      <c r="A304" s="276"/>
      <c r="B304" s="256"/>
      <c r="C304" s="256"/>
      <c r="D304" s="256"/>
      <c r="E304" s="256"/>
      <c r="G304" s="256"/>
      <c r="H304" s="256"/>
    </row>
    <row r="305" spans="1:8" ht="12.75">
      <c r="A305" s="276"/>
      <c r="B305" s="256"/>
      <c r="C305" s="256"/>
      <c r="D305" s="256"/>
      <c r="E305" s="256"/>
      <c r="G305" s="256"/>
      <c r="H305" s="256"/>
    </row>
    <row r="306" spans="1:8" ht="12.75">
      <c r="A306" s="276"/>
      <c r="B306" s="256"/>
      <c r="C306" s="256"/>
      <c r="D306" s="256"/>
      <c r="E306" s="256"/>
      <c r="G306" s="256"/>
      <c r="H306" s="256"/>
    </row>
    <row r="307" spans="1:8" ht="12.75">
      <c r="A307" s="276"/>
      <c r="B307" s="256"/>
      <c r="C307" s="256"/>
      <c r="D307" s="256"/>
      <c r="E307" s="256"/>
      <c r="G307" s="256"/>
      <c r="H307" s="256"/>
    </row>
  </sheetData>
  <sheetProtection password="C3AC" sheet="1" objects="1" scenarios="1"/>
  <mergeCells count="24">
    <mergeCell ref="K1:V1"/>
    <mergeCell ref="B4:C4"/>
    <mergeCell ref="B3:C3"/>
    <mergeCell ref="B12:C12"/>
    <mergeCell ref="B11:C11"/>
    <mergeCell ref="B7:C7"/>
    <mergeCell ref="B6:C6"/>
    <mergeCell ref="B5:C5"/>
    <mergeCell ref="A19:H19"/>
    <mergeCell ref="A17:H17"/>
    <mergeCell ref="A1:H1"/>
    <mergeCell ref="A2:H2"/>
    <mergeCell ref="E13:E16"/>
    <mergeCell ref="G14:H14"/>
    <mergeCell ref="B15:B16"/>
    <mergeCell ref="C15:C16"/>
    <mergeCell ref="F15:F16"/>
    <mergeCell ref="B14:C14"/>
    <mergeCell ref="A14:A16"/>
    <mergeCell ref="D14:D16"/>
    <mergeCell ref="G15:G16"/>
    <mergeCell ref="H15:H16"/>
    <mergeCell ref="F13:H13"/>
    <mergeCell ref="A13:D13"/>
  </mergeCells>
  <dataValidations count="2" disablePrompts="1">
    <dataValidation type="list" allowBlank="1" showInputMessage="1" showErrorMessage="1" sqref="F7">
      <formula1>"Yes,No"</formula1>
    </dataValidation>
    <dataValidation type="list" allowBlank="1" showInputMessage="1" showErrorMessage="1" sqref="F11">
      <formula1>"Predicted,Predicted &amp; Expected"</formula1>
    </dataValidation>
  </dataValidations>
  <printOptions/>
  <pageMargins left="0.7" right="0.7" top="0.75" bottom="0.75" header="0.3" footer="0.3"/>
  <pageSetup horizontalDpi="600" verticalDpi="600" orientation="landscape" scale="89"/>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AX36"/>
  <sheetViews>
    <sheetView zoomScalePageLayoutView="80" workbookViewId="0" topLeftCell="A1">
      <selection activeCell="A3" sqref="A3"/>
    </sheetView>
  </sheetViews>
  <sheetFormatPr defaultColWidth="9.140625" defaultRowHeight="12.75"/>
  <cols>
    <col min="1" max="1" width="25.421875" style="132" customWidth="1"/>
    <col min="2" max="7" width="13.28125" style="132" customWidth="1"/>
    <col min="8" max="9" width="13.28125" style="128" customWidth="1"/>
    <col min="10" max="10" width="13.28125" style="132" customWidth="1"/>
    <col min="11" max="11" width="9.8515625" style="128" customWidth="1"/>
    <col min="12" max="16384" width="9.140625" style="128" customWidth="1"/>
  </cols>
  <sheetData>
    <row r="1" spans="1:24" ht="27" customHeight="1" thickBot="1" thickTop="1">
      <c r="A1" s="563" t="s">
        <v>457</v>
      </c>
      <c r="B1" s="563"/>
      <c r="C1" s="563"/>
      <c r="D1" s="563"/>
      <c r="E1" s="563"/>
      <c r="F1" s="563"/>
      <c r="G1" s="563"/>
      <c r="H1" s="563"/>
      <c r="I1" s="563"/>
      <c r="J1" s="563"/>
      <c r="N1" s="552" t="s">
        <v>700</v>
      </c>
      <c r="O1" s="552"/>
      <c r="P1" s="552"/>
      <c r="Q1" s="552"/>
      <c r="R1" s="552"/>
      <c r="S1" s="552"/>
      <c r="T1" s="552"/>
      <c r="U1" s="552"/>
      <c r="V1" s="552"/>
      <c r="W1" s="552"/>
      <c r="X1" s="552"/>
    </row>
    <row r="2" spans="1:24" ht="13.5" thickTop="1">
      <c r="A2" s="521" t="s">
        <v>0</v>
      </c>
      <c r="B2" s="521"/>
      <c r="C2" s="521"/>
      <c r="D2" s="521"/>
      <c r="E2" s="521"/>
      <c r="F2" s="521"/>
      <c r="G2" s="521"/>
      <c r="H2" s="521"/>
      <c r="I2" s="521"/>
      <c r="J2" s="521"/>
      <c r="N2" s="320"/>
      <c r="O2" s="321"/>
      <c r="P2" s="321"/>
      <c r="Q2" s="321"/>
      <c r="R2" s="321"/>
      <c r="S2" s="321"/>
      <c r="T2" s="321"/>
      <c r="U2" s="321"/>
      <c r="V2" s="321"/>
      <c r="W2" s="321"/>
      <c r="X2" s="322"/>
    </row>
    <row r="3" spans="1:24" ht="12.75">
      <c r="A3" s="205" t="s">
        <v>414</v>
      </c>
      <c r="B3" s="564" t="str">
        <f>'Project Information'!B3</f>
        <v>Practical Case Study</v>
      </c>
      <c r="C3" s="565"/>
      <c r="D3" s="565"/>
      <c r="E3" s="565"/>
      <c r="F3" s="565"/>
      <c r="G3" s="565"/>
      <c r="H3" s="565"/>
      <c r="I3" s="565"/>
      <c r="J3" s="565"/>
      <c r="N3" s="323"/>
      <c r="O3" s="324"/>
      <c r="P3" s="324"/>
      <c r="Q3" s="324"/>
      <c r="R3" s="324"/>
      <c r="S3" s="324"/>
      <c r="T3" s="324"/>
      <c r="U3" s="324"/>
      <c r="V3" s="324"/>
      <c r="W3" s="324"/>
      <c r="X3" s="325"/>
    </row>
    <row r="4" spans="1:24" ht="13.9" customHeight="1">
      <c r="A4" s="206" t="s">
        <v>415</v>
      </c>
      <c r="B4" s="523" t="str">
        <f>'Project Information'!B4</f>
        <v>Three Signalized Intersections</v>
      </c>
      <c r="C4" s="524"/>
      <c r="D4" s="524"/>
      <c r="E4" s="524"/>
      <c r="F4" s="524"/>
      <c r="G4" s="524"/>
      <c r="H4" s="524"/>
      <c r="I4" s="524"/>
      <c r="J4" s="524"/>
      <c r="N4" s="323"/>
      <c r="O4" s="324"/>
      <c r="P4" s="324"/>
      <c r="Q4" s="324"/>
      <c r="R4" s="324"/>
      <c r="S4" s="324"/>
      <c r="T4" s="324"/>
      <c r="U4" s="324"/>
      <c r="V4" s="324"/>
      <c r="W4" s="324"/>
      <c r="X4" s="325"/>
    </row>
    <row r="5" spans="1:24" ht="12.75">
      <c r="A5" s="130" t="s">
        <v>417</v>
      </c>
      <c r="B5" s="523" t="str">
        <f>'Project Information'!B5</f>
        <v>STARS Report A-1</v>
      </c>
      <c r="C5" s="524"/>
      <c r="D5" s="524"/>
      <c r="E5" s="524"/>
      <c r="F5" s="524"/>
      <c r="G5" s="524"/>
      <c r="H5" s="524"/>
      <c r="I5" s="524"/>
      <c r="J5" s="524"/>
      <c r="N5" s="323"/>
      <c r="O5" s="324"/>
      <c r="P5" s="324"/>
      <c r="Q5" s="324"/>
      <c r="R5" s="324"/>
      <c r="S5" s="324"/>
      <c r="T5" s="324"/>
      <c r="U5" s="324"/>
      <c r="V5" s="324"/>
      <c r="W5" s="324"/>
      <c r="X5" s="325"/>
    </row>
    <row r="6" spans="1:24" ht="12.75">
      <c r="A6" s="130" t="s">
        <v>1</v>
      </c>
      <c r="B6" s="523" t="str">
        <f>'Project Information'!B6</f>
        <v>John Smith</v>
      </c>
      <c r="C6" s="524"/>
      <c r="D6" s="524"/>
      <c r="E6" s="524"/>
      <c r="F6" s="524"/>
      <c r="G6" s="524"/>
      <c r="H6" s="524"/>
      <c r="I6" s="524"/>
      <c r="J6" s="524"/>
      <c r="N6" s="323"/>
      <c r="O6" s="324"/>
      <c r="P6" s="324"/>
      <c r="Q6" s="324"/>
      <c r="R6" s="324"/>
      <c r="S6" s="324"/>
      <c r="T6" s="324"/>
      <c r="U6" s="324"/>
      <c r="V6" s="324"/>
      <c r="W6" s="324"/>
      <c r="X6" s="325"/>
    </row>
    <row r="7" spans="1:24" ht="12.75">
      <c r="A7" s="130" t="s">
        <v>416</v>
      </c>
      <c r="B7" s="523" t="str">
        <f>'Project Information'!B7</f>
        <v>ABC Company</v>
      </c>
      <c r="C7" s="524"/>
      <c r="D7" s="524"/>
      <c r="E7" s="524"/>
      <c r="F7" s="524"/>
      <c r="G7" s="524"/>
      <c r="H7" s="524"/>
      <c r="I7" s="524"/>
      <c r="J7" s="524"/>
      <c r="N7" s="323"/>
      <c r="O7" s="324"/>
      <c r="P7" s="324"/>
      <c r="Q7" s="324"/>
      <c r="R7" s="324"/>
      <c r="S7" s="324"/>
      <c r="T7" s="324"/>
      <c r="U7" s="324"/>
      <c r="V7" s="324"/>
      <c r="W7" s="324"/>
      <c r="X7" s="325"/>
    </row>
    <row r="8" spans="1:24" ht="12.75">
      <c r="A8" s="130" t="s">
        <v>418</v>
      </c>
      <c r="B8" s="523" t="str">
        <f>'Project Information'!F3</f>
        <v>email</v>
      </c>
      <c r="C8" s="524"/>
      <c r="D8" s="524"/>
      <c r="E8" s="524"/>
      <c r="F8" s="524"/>
      <c r="G8" s="524"/>
      <c r="H8" s="524"/>
      <c r="I8" s="524"/>
      <c r="J8" s="524"/>
      <c r="N8" s="323"/>
      <c r="O8" s="324"/>
      <c r="P8" s="324"/>
      <c r="Q8" s="324"/>
      <c r="R8" s="324"/>
      <c r="S8" s="324"/>
      <c r="T8" s="324"/>
      <c r="U8" s="324"/>
      <c r="V8" s="324"/>
      <c r="W8" s="324"/>
      <c r="X8" s="325"/>
    </row>
    <row r="9" spans="1:24" ht="12.75">
      <c r="A9" s="130" t="s">
        <v>419</v>
      </c>
      <c r="B9" s="556">
        <f>'Project Information'!F4</f>
        <v>1234567891</v>
      </c>
      <c r="C9" s="557"/>
      <c r="D9" s="557"/>
      <c r="E9" s="557"/>
      <c r="F9" s="557"/>
      <c r="G9" s="557"/>
      <c r="H9" s="557"/>
      <c r="I9" s="557"/>
      <c r="J9" s="557"/>
      <c r="N9" s="323"/>
      <c r="O9" s="324"/>
      <c r="P9" s="324"/>
      <c r="Q9" s="324"/>
      <c r="R9" s="324"/>
      <c r="S9" s="324"/>
      <c r="T9" s="324"/>
      <c r="U9" s="324"/>
      <c r="V9" s="324"/>
      <c r="W9" s="324"/>
      <c r="X9" s="325"/>
    </row>
    <row r="10" spans="1:24" ht="13.5" thickBot="1">
      <c r="A10" s="468" t="s">
        <v>413</v>
      </c>
      <c r="B10" s="558">
        <f>'Project Information'!F5</f>
        <v>40675</v>
      </c>
      <c r="C10" s="537"/>
      <c r="D10" s="537"/>
      <c r="E10" s="537"/>
      <c r="F10" s="537"/>
      <c r="G10" s="537"/>
      <c r="H10" s="537"/>
      <c r="I10" s="537"/>
      <c r="J10" s="537"/>
      <c r="N10" s="323"/>
      <c r="O10" s="324"/>
      <c r="P10" s="324"/>
      <c r="Q10" s="324"/>
      <c r="R10" s="324"/>
      <c r="S10" s="324"/>
      <c r="T10" s="324"/>
      <c r="U10" s="324"/>
      <c r="V10" s="324"/>
      <c r="W10" s="324"/>
      <c r="X10" s="325"/>
    </row>
    <row r="11" spans="1:50" s="130" customFormat="1" ht="235.5" customHeight="1" thickBot="1">
      <c r="A11" s="559" t="s">
        <v>440</v>
      </c>
      <c r="B11" s="559"/>
      <c r="C11" s="559"/>
      <c r="D11" s="559"/>
      <c r="E11" s="559"/>
      <c r="F11" s="559"/>
      <c r="G11" s="559"/>
      <c r="H11" s="559"/>
      <c r="I11" s="559"/>
      <c r="J11" s="559"/>
      <c r="K11" s="207"/>
      <c r="L11" s="151"/>
      <c r="M11" s="151"/>
      <c r="N11" s="326"/>
      <c r="O11" s="327"/>
      <c r="P11" s="327"/>
      <c r="Q11" s="327"/>
      <c r="R11" s="327"/>
      <c r="S11" s="327"/>
      <c r="T11" s="328"/>
      <c r="U11" s="328"/>
      <c r="V11" s="328"/>
      <c r="W11" s="329"/>
      <c r="X11" s="330"/>
      <c r="AE11" s="129"/>
      <c r="AF11" s="129"/>
      <c r="AG11" s="129"/>
      <c r="AH11" s="129"/>
      <c r="AI11" s="209"/>
      <c r="AJ11" s="209"/>
      <c r="AK11" s="209"/>
      <c r="AL11" s="209"/>
      <c r="AP11" s="135"/>
      <c r="AQ11" s="135"/>
      <c r="AR11" s="135"/>
      <c r="AS11" s="135"/>
      <c r="AT11" s="135"/>
      <c r="AU11" s="135"/>
      <c r="AV11" s="135"/>
      <c r="AW11" s="135"/>
      <c r="AX11" s="135"/>
    </row>
    <row r="12" spans="1:50" s="130" customFormat="1" ht="13.9" customHeight="1">
      <c r="A12" s="469"/>
      <c r="B12" s="533" t="s">
        <v>423</v>
      </c>
      <c r="C12" s="560"/>
      <c r="D12" s="561"/>
      <c r="E12" s="533" t="s">
        <v>428</v>
      </c>
      <c r="F12" s="555"/>
      <c r="G12" s="562"/>
      <c r="H12" s="533" t="s">
        <v>429</v>
      </c>
      <c r="I12" s="555"/>
      <c r="J12" s="555"/>
      <c r="K12" s="210"/>
      <c r="L12" s="210"/>
      <c r="M12" s="210"/>
      <c r="N12" s="331"/>
      <c r="O12" s="332"/>
      <c r="P12" s="332"/>
      <c r="Q12" s="332"/>
      <c r="R12" s="333"/>
      <c r="S12" s="333"/>
      <c r="T12" s="334"/>
      <c r="U12" s="334"/>
      <c r="V12" s="334"/>
      <c r="W12" s="329"/>
      <c r="X12" s="330"/>
      <c r="AE12" s="131"/>
      <c r="AO12" s="131"/>
      <c r="AP12" s="131"/>
      <c r="AQ12" s="131"/>
      <c r="AR12" s="131"/>
      <c r="AS12" s="131"/>
      <c r="AT12" s="131"/>
      <c r="AU12" s="131"/>
      <c r="AV12" s="131"/>
      <c r="AW12" s="131"/>
      <c r="AX12" s="131"/>
    </row>
    <row r="13" spans="1:50" s="130" customFormat="1" ht="18" customHeight="1" thickBot="1">
      <c r="A13" s="544" t="s">
        <v>412</v>
      </c>
      <c r="B13" s="525" t="s">
        <v>420</v>
      </c>
      <c r="C13" s="537"/>
      <c r="D13" s="538"/>
      <c r="E13" s="525" t="s">
        <v>421</v>
      </c>
      <c r="F13" s="526"/>
      <c r="G13" s="527"/>
      <c r="H13" s="525" t="s">
        <v>422</v>
      </c>
      <c r="I13" s="526"/>
      <c r="J13" s="526"/>
      <c r="K13" s="206"/>
      <c r="L13" s="211"/>
      <c r="M13" s="211"/>
      <c r="N13" s="335"/>
      <c r="O13" s="329"/>
      <c r="P13" s="334"/>
      <c r="Q13" s="329"/>
      <c r="R13" s="329"/>
      <c r="S13" s="329"/>
      <c r="T13" s="334"/>
      <c r="U13" s="334"/>
      <c r="V13" s="334"/>
      <c r="W13" s="329"/>
      <c r="X13" s="330"/>
      <c r="AE13" s="131"/>
      <c r="AF13" s="131"/>
      <c r="AG13" s="129"/>
      <c r="AH13" s="129"/>
      <c r="AI13" s="129"/>
      <c r="AJ13" s="129"/>
      <c r="AK13" s="129"/>
      <c r="AL13" s="129"/>
      <c r="AO13" s="131"/>
      <c r="AP13" s="131"/>
      <c r="AQ13" s="131"/>
      <c r="AR13" s="131"/>
      <c r="AS13" s="131"/>
      <c r="AT13" s="131"/>
      <c r="AU13" s="131"/>
      <c r="AV13" s="131"/>
      <c r="AW13" s="131"/>
      <c r="AX13" s="131"/>
    </row>
    <row r="14" spans="1:50" s="130" customFormat="1" ht="55.15" customHeight="1">
      <c r="A14" s="544"/>
      <c r="B14" s="439" t="s">
        <v>424</v>
      </c>
      <c r="C14" s="439" t="s">
        <v>425</v>
      </c>
      <c r="D14" s="534" t="s">
        <v>426</v>
      </c>
      <c r="E14" s="439" t="s">
        <v>424</v>
      </c>
      <c r="F14" s="439" t="s">
        <v>425</v>
      </c>
      <c r="G14" s="534" t="s">
        <v>426</v>
      </c>
      <c r="H14" s="439" t="s">
        <v>424</v>
      </c>
      <c r="I14" s="439" t="s">
        <v>427</v>
      </c>
      <c r="J14" s="533" t="s">
        <v>430</v>
      </c>
      <c r="K14" s="129"/>
      <c r="L14" s="212"/>
      <c r="M14" s="212"/>
      <c r="N14" s="336"/>
      <c r="O14" s="337"/>
      <c r="P14" s="337"/>
      <c r="Q14" s="337"/>
      <c r="R14" s="337"/>
      <c r="S14" s="337"/>
      <c r="T14" s="338"/>
      <c r="U14" s="334"/>
      <c r="V14" s="338"/>
      <c r="W14" s="329"/>
      <c r="X14" s="330"/>
      <c r="AE14" s="129"/>
      <c r="AF14" s="129"/>
      <c r="AG14" s="129"/>
      <c r="AH14" s="129"/>
      <c r="AI14" s="213"/>
      <c r="AJ14" s="213"/>
      <c r="AK14" s="213"/>
      <c r="AL14" s="213"/>
      <c r="AP14" s="135"/>
      <c r="AQ14" s="135"/>
      <c r="AR14" s="135"/>
      <c r="AS14" s="135"/>
      <c r="AT14" s="135"/>
      <c r="AU14" s="135"/>
      <c r="AV14" s="135"/>
      <c r="AW14" s="135"/>
      <c r="AX14" s="135"/>
    </row>
    <row r="15" spans="1:50" s="130" customFormat="1" ht="21" customHeight="1" thickBot="1">
      <c r="A15" s="527"/>
      <c r="B15" s="172" t="s">
        <v>496</v>
      </c>
      <c r="C15" s="172" t="s">
        <v>497</v>
      </c>
      <c r="D15" s="535"/>
      <c r="E15" s="172" t="s">
        <v>498</v>
      </c>
      <c r="F15" s="172" t="s">
        <v>499</v>
      </c>
      <c r="G15" s="535"/>
      <c r="H15" s="172" t="s">
        <v>500</v>
      </c>
      <c r="I15" s="172" t="s">
        <v>501</v>
      </c>
      <c r="J15" s="525"/>
      <c r="K15" s="207"/>
      <c r="L15" s="151"/>
      <c r="M15" s="151"/>
      <c r="N15" s="326"/>
      <c r="O15" s="327"/>
      <c r="P15" s="327"/>
      <c r="Q15" s="327"/>
      <c r="R15" s="327"/>
      <c r="S15" s="327"/>
      <c r="T15" s="328"/>
      <c r="U15" s="328"/>
      <c r="V15" s="328"/>
      <c r="W15" s="329"/>
      <c r="X15" s="330"/>
      <c r="AE15" s="129"/>
      <c r="AF15" s="129"/>
      <c r="AG15" s="129"/>
      <c r="AH15" s="129"/>
      <c r="AI15" s="209"/>
      <c r="AJ15" s="209"/>
      <c r="AK15" s="209"/>
      <c r="AL15" s="209"/>
      <c r="AP15" s="135"/>
      <c r="AQ15" s="135"/>
      <c r="AR15" s="135"/>
      <c r="AS15" s="135"/>
      <c r="AT15" s="135"/>
      <c r="AU15" s="135"/>
      <c r="AV15" s="135"/>
      <c r="AW15" s="135"/>
      <c r="AX15" s="135"/>
    </row>
    <row r="16" spans="1:50" s="130" customFormat="1" ht="12.75">
      <c r="A16" s="222" t="s">
        <v>432</v>
      </c>
      <c r="B16" s="360"/>
      <c r="C16" s="360"/>
      <c r="D16" s="360"/>
      <c r="E16" s="360"/>
      <c r="F16" s="360"/>
      <c r="G16" s="360"/>
      <c r="H16" s="360"/>
      <c r="I16" s="360"/>
      <c r="J16" s="361"/>
      <c r="K16" s="207"/>
      <c r="L16" s="151"/>
      <c r="M16" s="151"/>
      <c r="N16" s="326"/>
      <c r="O16" s="327"/>
      <c r="P16" s="327"/>
      <c r="Q16" s="327"/>
      <c r="R16" s="327"/>
      <c r="S16" s="327"/>
      <c r="T16" s="328"/>
      <c r="U16" s="328"/>
      <c r="V16" s="328"/>
      <c r="W16" s="329"/>
      <c r="X16" s="330"/>
      <c r="AE16" s="129"/>
      <c r="AF16" s="129"/>
      <c r="AG16" s="129"/>
      <c r="AH16" s="129"/>
      <c r="AI16" s="209"/>
      <c r="AJ16" s="209"/>
      <c r="AK16" s="209"/>
      <c r="AL16" s="209"/>
      <c r="AP16" s="135"/>
      <c r="AQ16" s="135"/>
      <c r="AR16" s="135"/>
      <c r="AS16" s="135"/>
      <c r="AT16" s="135"/>
      <c r="AU16" s="135"/>
      <c r="AV16" s="135"/>
      <c r="AW16" s="135"/>
      <c r="AX16" s="135"/>
    </row>
    <row r="17" spans="1:50" s="130" customFormat="1" ht="13.5" thickBot="1">
      <c r="A17" s="243"/>
      <c r="B17" s="358"/>
      <c r="C17" s="358"/>
      <c r="D17" s="358"/>
      <c r="E17" s="358"/>
      <c r="F17" s="358"/>
      <c r="G17" s="358"/>
      <c r="H17" s="358"/>
      <c r="I17" s="358"/>
      <c r="J17" s="359"/>
      <c r="K17" s="207"/>
      <c r="L17" s="151"/>
      <c r="M17" s="151"/>
      <c r="N17" s="339"/>
      <c r="O17" s="340"/>
      <c r="P17" s="340"/>
      <c r="Q17" s="340"/>
      <c r="R17" s="340"/>
      <c r="S17" s="340"/>
      <c r="T17" s="341"/>
      <c r="U17" s="341"/>
      <c r="V17" s="341"/>
      <c r="W17" s="342"/>
      <c r="X17" s="343"/>
      <c r="AE17" s="129"/>
      <c r="AF17" s="129"/>
      <c r="AG17" s="129"/>
      <c r="AH17" s="129"/>
      <c r="AI17" s="209"/>
      <c r="AJ17" s="209"/>
      <c r="AK17" s="209"/>
      <c r="AL17" s="209"/>
      <c r="AP17" s="135"/>
      <c r="AQ17" s="135"/>
      <c r="AR17" s="135"/>
      <c r="AS17" s="135"/>
      <c r="AT17" s="135"/>
      <c r="AU17" s="135"/>
      <c r="AV17" s="135"/>
      <c r="AW17" s="135"/>
      <c r="AX17" s="135"/>
    </row>
    <row r="18" spans="1:38" s="130" customFormat="1" ht="13.5" thickTop="1">
      <c r="A18" s="220" t="s">
        <v>431</v>
      </c>
      <c r="B18" s="357"/>
      <c r="C18" s="357"/>
      <c r="D18" s="357"/>
      <c r="E18" s="357"/>
      <c r="F18" s="357"/>
      <c r="G18" s="357"/>
      <c r="H18" s="357"/>
      <c r="I18" s="357"/>
      <c r="J18" s="354"/>
      <c r="K18" s="210"/>
      <c r="L18" s="210"/>
      <c r="M18" s="210"/>
      <c r="N18" s="210"/>
      <c r="O18" s="210"/>
      <c r="P18" s="210"/>
      <c r="Q18" s="210"/>
      <c r="R18" s="206"/>
      <c r="S18" s="206"/>
      <c r="T18" s="129"/>
      <c r="U18" s="129"/>
      <c r="V18" s="129"/>
      <c r="W18" s="129"/>
      <c r="X18" s="129"/>
      <c r="Y18" s="129"/>
      <c r="Z18" s="129"/>
      <c r="AA18" s="129"/>
      <c r="AB18" s="129"/>
      <c r="AE18" s="131"/>
      <c r="AF18" s="131"/>
      <c r="AG18" s="131"/>
      <c r="AH18" s="131"/>
      <c r="AI18" s="131"/>
      <c r="AJ18" s="129"/>
      <c r="AK18" s="129"/>
      <c r="AL18" s="129"/>
    </row>
    <row r="19" spans="1:38" s="130" customFormat="1" ht="13.5" thickBot="1">
      <c r="A19" s="244"/>
      <c r="B19" s="362"/>
      <c r="C19" s="362"/>
      <c r="D19" s="362"/>
      <c r="E19" s="362"/>
      <c r="F19" s="362"/>
      <c r="G19" s="362"/>
      <c r="H19" s="362"/>
      <c r="I19" s="362"/>
      <c r="J19" s="363"/>
      <c r="K19" s="210"/>
      <c r="L19" s="210"/>
      <c r="M19" s="210"/>
      <c r="N19" s="210"/>
      <c r="O19" s="210"/>
      <c r="P19" s="210"/>
      <c r="Q19" s="210"/>
      <c r="R19" s="206"/>
      <c r="S19" s="206"/>
      <c r="T19" s="129"/>
      <c r="U19" s="129"/>
      <c r="V19" s="129"/>
      <c r="W19" s="129"/>
      <c r="X19" s="129"/>
      <c r="Y19" s="129"/>
      <c r="Z19" s="129"/>
      <c r="AA19" s="129"/>
      <c r="AB19" s="129"/>
      <c r="AE19" s="131"/>
      <c r="AF19" s="131"/>
      <c r="AG19" s="131"/>
      <c r="AH19" s="131"/>
      <c r="AI19" s="131"/>
      <c r="AJ19" s="129"/>
      <c r="AK19" s="129"/>
      <c r="AL19" s="129"/>
    </row>
    <row r="20" spans="1:38" s="130" customFormat="1" ht="14.25" thickBot="1" thickTop="1">
      <c r="A20" s="221" t="s">
        <v>104</v>
      </c>
      <c r="B20" s="364"/>
      <c r="C20" s="364"/>
      <c r="D20" s="364"/>
      <c r="E20" s="364"/>
      <c r="F20" s="364"/>
      <c r="G20" s="364"/>
      <c r="H20" s="364"/>
      <c r="I20" s="364"/>
      <c r="J20" s="365"/>
      <c r="K20" s="208"/>
      <c r="L20" s="208"/>
      <c r="M20" s="208"/>
      <c r="N20" s="208"/>
      <c r="O20" s="208"/>
      <c r="P20" s="208"/>
      <c r="Q20" s="208"/>
      <c r="R20" s="208"/>
      <c r="S20" s="208"/>
      <c r="T20" s="208"/>
      <c r="U20" s="208"/>
      <c r="V20" s="208"/>
      <c r="W20" s="208"/>
      <c r="X20" s="208"/>
      <c r="Y20" s="208"/>
      <c r="Z20" s="208"/>
      <c r="AA20" s="208"/>
      <c r="AB20" s="208"/>
      <c r="AE20" s="133"/>
      <c r="AF20" s="133"/>
      <c r="AG20" s="129"/>
      <c r="AH20" s="129"/>
      <c r="AI20" s="209"/>
      <c r="AJ20" s="209"/>
      <c r="AK20" s="209"/>
      <c r="AL20" s="209"/>
    </row>
    <row r="21" spans="1:10" ht="13.5" thickBot="1">
      <c r="A21" s="219"/>
      <c r="B21" s="204"/>
      <c r="C21" s="204"/>
      <c r="D21" s="204"/>
      <c r="E21" s="204"/>
      <c r="F21" s="204"/>
      <c r="G21" s="204"/>
      <c r="H21" s="245"/>
      <c r="I21" s="245"/>
      <c r="J21" s="204"/>
    </row>
    <row r="22" spans="1:10" ht="12.75">
      <c r="A22" s="549" t="s">
        <v>715</v>
      </c>
      <c r="B22" s="549"/>
      <c r="C22" s="549"/>
      <c r="D22" s="549"/>
      <c r="E22" s="549"/>
      <c r="F22" s="549"/>
      <c r="G22" s="549"/>
      <c r="H22" s="549"/>
      <c r="I22" s="549"/>
      <c r="J22" s="549"/>
    </row>
    <row r="23" spans="1:10" ht="13.15" customHeight="1" thickBot="1">
      <c r="A23" s="550"/>
      <c r="B23" s="550"/>
      <c r="C23" s="550"/>
      <c r="D23" s="550"/>
      <c r="E23" s="550"/>
      <c r="F23" s="550"/>
      <c r="G23" s="550"/>
      <c r="H23" s="550"/>
      <c r="I23" s="550"/>
      <c r="J23" s="550"/>
    </row>
    <row r="24" spans="1:10" ht="14.25">
      <c r="A24" s="543" t="s">
        <v>38</v>
      </c>
      <c r="B24" s="543"/>
      <c r="C24" s="543"/>
      <c r="D24" s="544"/>
      <c r="E24" s="529" t="s">
        <v>713</v>
      </c>
      <c r="F24" s="529"/>
      <c r="G24" s="529" t="s">
        <v>673</v>
      </c>
      <c r="H24" s="529"/>
      <c r="I24" s="529" t="s">
        <v>627</v>
      </c>
      <c r="J24" s="530"/>
    </row>
    <row r="25" spans="1:10" ht="64.5" customHeight="1">
      <c r="A25" s="545"/>
      <c r="B25" s="545"/>
      <c r="C25" s="545"/>
      <c r="D25" s="546"/>
      <c r="E25" s="531" t="s">
        <v>449</v>
      </c>
      <c r="F25" s="531"/>
      <c r="G25" s="531" t="s">
        <v>450</v>
      </c>
      <c r="H25" s="531"/>
      <c r="I25" s="531" t="s">
        <v>448</v>
      </c>
      <c r="J25" s="532"/>
    </row>
    <row r="26" spans="1:10" ht="12.75">
      <c r="A26" s="541" t="s">
        <v>443</v>
      </c>
      <c r="B26" s="542"/>
      <c r="C26" s="542"/>
      <c r="D26" s="542"/>
      <c r="E26" s="522">
        <f>+E20</f>
        <v>0</v>
      </c>
      <c r="F26" s="522"/>
      <c r="G26" s="522">
        <f>+F20</f>
        <v>0</v>
      </c>
      <c r="H26" s="522"/>
      <c r="I26" s="522">
        <f>+IF(G26&gt;=E26,+G26-E26,"N/A")</f>
        <v>0</v>
      </c>
      <c r="J26" s="528"/>
    </row>
    <row r="27" spans="1:10" ht="12.75">
      <c r="A27" s="541" t="s">
        <v>111</v>
      </c>
      <c r="B27" s="542"/>
      <c r="C27" s="542"/>
      <c r="D27" s="542"/>
      <c r="E27" s="522">
        <f>+H20</f>
        <v>0</v>
      </c>
      <c r="F27" s="522"/>
      <c r="G27" s="522">
        <f>+I20</f>
        <v>0</v>
      </c>
      <c r="H27" s="522"/>
      <c r="I27" s="522">
        <f>+IF(G27&gt;=E27,+G27-E27,"N/A")</f>
        <v>0</v>
      </c>
      <c r="J27" s="528"/>
    </row>
    <row r="28" spans="1:10" ht="13.5" thickBot="1">
      <c r="A28" s="539" t="s">
        <v>444</v>
      </c>
      <c r="B28" s="540"/>
      <c r="C28" s="540"/>
      <c r="D28" s="540"/>
      <c r="E28" s="547">
        <f>+B20</f>
        <v>0</v>
      </c>
      <c r="F28" s="547"/>
      <c r="G28" s="547">
        <f>+C20</f>
        <v>0</v>
      </c>
      <c r="H28" s="547"/>
      <c r="I28" s="553">
        <f>+IF(G28&gt;=E28,+G28-E28,"N/A")</f>
        <v>0</v>
      </c>
      <c r="J28" s="554"/>
    </row>
    <row r="29" spans="1:10" ht="12.75">
      <c r="A29" s="210"/>
      <c r="B29" s="210"/>
      <c r="C29" s="210"/>
      <c r="D29" s="131"/>
      <c r="E29" s="214"/>
      <c r="F29" s="131"/>
      <c r="G29" s="131"/>
      <c r="H29" s="131"/>
      <c r="I29" s="130"/>
      <c r="J29" s="130"/>
    </row>
    <row r="30" spans="1:10" ht="12.75">
      <c r="A30" s="206"/>
      <c r="B30" s="206"/>
      <c r="C30" s="206"/>
      <c r="D30" s="167"/>
      <c r="E30" s="215"/>
      <c r="F30" s="130"/>
      <c r="G30" s="215"/>
      <c r="H30" s="130"/>
      <c r="I30" s="130"/>
      <c r="J30" s="130"/>
    </row>
    <row r="31" spans="1:10" ht="15.75">
      <c r="A31" s="216" t="s">
        <v>445</v>
      </c>
      <c r="B31" s="152"/>
      <c r="C31" s="152"/>
      <c r="D31" s="217"/>
      <c r="E31" s="152"/>
      <c r="F31" s="152"/>
      <c r="G31" s="152"/>
      <c r="H31" s="152"/>
      <c r="I31" s="130"/>
      <c r="J31" s="130"/>
    </row>
    <row r="32" spans="1:10" ht="12.75">
      <c r="A32" s="294" t="s">
        <v>684</v>
      </c>
      <c r="B32" s="291"/>
      <c r="C32" s="291"/>
      <c r="D32" s="217"/>
      <c r="E32" s="291"/>
      <c r="F32" s="291"/>
      <c r="G32" s="291"/>
      <c r="H32" s="291"/>
      <c r="I32" s="292"/>
      <c r="J32" s="292"/>
    </row>
    <row r="33" spans="1:10" s="417" customFormat="1" ht="35.1" customHeight="1">
      <c r="A33" s="548" t="str">
        <f>_xlfn.IFERROR(+CONCATENATE("1.  It is anticipated that the project will, on average, experience ",+ROUND(G28,1)," crashes per year (",ROUND(G26,1)," fatal and injury crashes per year; and ",+ROUND(G27,1)," property damage only crashes per year)."),"")</f>
        <v>1.  It is anticipated that the project will, on average, experience 0 crashes per year (0 fatal and injury crashes per year; and 0 property damage only crashes per year).</v>
      </c>
      <c r="B33" s="548"/>
      <c r="C33" s="548"/>
      <c r="D33" s="548"/>
      <c r="E33" s="548"/>
      <c r="F33" s="548"/>
      <c r="G33" s="548"/>
      <c r="H33" s="548"/>
      <c r="I33" s="548"/>
      <c r="J33" s="548"/>
    </row>
    <row r="34" spans="1:10" s="417" customFormat="1" ht="35.1" customHeight="1">
      <c r="A34" s="551" t="str">
        <f>_xlfn.IFERROR(+CONCATENATE("2. A similar project is anticipated, on average, to experience ",+(ROUND(E28,1))," crashes per year (",+ROUND(E26,1)," fatal and injury crashes per year; and ",+ROUND(E27,1)," property damage only crashes per year)."),"")</f>
        <v>2. A similar project is anticipated, on average, to experience 0 crashes per year (0 fatal and injury crashes per year; and 0 property damage only crashes per year).</v>
      </c>
      <c r="B34" s="551"/>
      <c r="C34" s="551"/>
      <c r="D34" s="551"/>
      <c r="E34" s="551"/>
      <c r="F34" s="551"/>
      <c r="G34" s="551"/>
      <c r="H34" s="551"/>
      <c r="I34" s="551"/>
      <c r="J34" s="551"/>
    </row>
    <row r="35" spans="1:10" s="417" customFormat="1" ht="35.1" customHeight="1">
      <c r="A35" s="548" t="str">
        <f>_xlfn.IFERROR(+IF(I28="N/A","",+CONCATENATE("3.  It is anticipated the project has, on average, a potential for safety improvement of ",ROUND(I28,1)," crashes per year (",+ROUND(I26,1)," fatal and injury crashes per year; and ",+ROUND(I27,1)," property damage only crashes per year).")),"")</f>
        <v>3.  It is anticipated the project has, on average, a potential for safety improvement of 0 crashes per year (0 fatal and injury crashes per year; and 0 property damage only crashes per year).</v>
      </c>
      <c r="B35" s="548"/>
      <c r="C35" s="548"/>
      <c r="D35" s="548"/>
      <c r="E35" s="548"/>
      <c r="F35" s="548"/>
      <c r="G35" s="548"/>
      <c r="H35" s="548"/>
      <c r="I35" s="548"/>
      <c r="J35" s="548"/>
    </row>
    <row r="36" spans="1:10" s="417" customFormat="1" ht="35.1" customHeight="1">
      <c r="A36" s="536"/>
      <c r="B36" s="536"/>
      <c r="C36" s="536"/>
      <c r="D36" s="536"/>
      <c r="E36" s="536"/>
      <c r="F36" s="536"/>
      <c r="G36" s="536"/>
      <c r="H36" s="536"/>
      <c r="I36" s="536"/>
      <c r="J36" s="536"/>
    </row>
  </sheetData>
  <sheetProtection password="C3AC" sheet="1" objects="1" scenarios="1"/>
  <mergeCells count="46">
    <mergeCell ref="N1:X1"/>
    <mergeCell ref="I28:J28"/>
    <mergeCell ref="I27:J27"/>
    <mergeCell ref="B4:J4"/>
    <mergeCell ref="A27:D27"/>
    <mergeCell ref="H12:J12"/>
    <mergeCell ref="B7:J7"/>
    <mergeCell ref="B8:J8"/>
    <mergeCell ref="B9:J9"/>
    <mergeCell ref="B10:J10"/>
    <mergeCell ref="E27:F27"/>
    <mergeCell ref="A11:J11"/>
    <mergeCell ref="B12:D12"/>
    <mergeCell ref="E12:G12"/>
    <mergeCell ref="A1:J1"/>
    <mergeCell ref="B3:J3"/>
    <mergeCell ref="A36:J36"/>
    <mergeCell ref="B13:D13"/>
    <mergeCell ref="G27:H27"/>
    <mergeCell ref="G24:H24"/>
    <mergeCell ref="E25:F25"/>
    <mergeCell ref="G25:H25"/>
    <mergeCell ref="A28:D28"/>
    <mergeCell ref="A26:D26"/>
    <mergeCell ref="A24:D25"/>
    <mergeCell ref="G28:H28"/>
    <mergeCell ref="A35:J35"/>
    <mergeCell ref="A22:J23"/>
    <mergeCell ref="E28:F28"/>
    <mergeCell ref="A13:A15"/>
    <mergeCell ref="A33:J33"/>
    <mergeCell ref="A34:J34"/>
    <mergeCell ref="A2:J2"/>
    <mergeCell ref="G26:H26"/>
    <mergeCell ref="B5:J5"/>
    <mergeCell ref="H13:J13"/>
    <mergeCell ref="E13:G13"/>
    <mergeCell ref="I26:J26"/>
    <mergeCell ref="E24:F24"/>
    <mergeCell ref="B6:J6"/>
    <mergeCell ref="E26:F26"/>
    <mergeCell ref="I24:J24"/>
    <mergeCell ref="I25:J25"/>
    <mergeCell ref="J14:J15"/>
    <mergeCell ref="G14:G15"/>
    <mergeCell ref="D14:D15"/>
  </mergeCells>
  <dataValidations count="1" disablePrompts="1">
    <dataValidation type="list" allowBlank="1" showInputMessage="1" showErrorMessage="1" sqref="K14">
      <formula1>Local</formula1>
    </dataValidation>
  </dataValidations>
  <printOptions horizontalCentered="1"/>
  <pageMargins left="0.7" right="0.7" top="0.75" bottom="0.75" header="0.3" footer="0.3"/>
  <pageSetup fitToHeight="0" fitToWidth="1" horizontalDpi="600" verticalDpi="600" orientation="portrait" scale="64"/>
  <headerFooter>
    <oddFooter>&amp;C&amp;G</oddFooter>
  </headerFooter>
  <colBreaks count="1" manualBreakCount="1">
    <brk id="10" max="16383" man="1"/>
  </colBreaks>
  <drawing r:id="rId1"/>
  <legacyDrawingHF r:id="rId2"/>
</worksheet>
</file>

<file path=xl/worksheets/sheet4.xml><?xml version="1.0" encoding="utf-8"?>
<worksheet xmlns="http://schemas.openxmlformats.org/spreadsheetml/2006/main" xmlns:r="http://schemas.openxmlformats.org/officeDocument/2006/relationships">
  <sheetPr codeName="Sheet12">
    <pageSetUpPr fitToPage="1"/>
  </sheetPr>
  <dimension ref="A3:BA90"/>
  <sheetViews>
    <sheetView workbookViewId="0" topLeftCell="B3">
      <selection activeCell="B13" sqref="B13"/>
    </sheetView>
  </sheetViews>
  <sheetFormatPr defaultColWidth="9.140625" defaultRowHeight="12.75"/>
  <cols>
    <col min="1" max="1" width="13.7109375" style="367" hidden="1" customWidth="1"/>
    <col min="2" max="2" width="16.57421875" style="367" customWidth="1"/>
    <col min="3" max="3" width="11.00390625" style="367" customWidth="1"/>
    <col min="4" max="9" width="13.7109375" style="367" customWidth="1"/>
    <col min="10" max="10" width="16.7109375" style="367" customWidth="1"/>
    <col min="11" max="12" width="13.7109375" style="367" customWidth="1"/>
    <col min="13" max="13" width="15.28125" style="367" customWidth="1"/>
    <col min="14" max="14" width="13.7109375" style="367" customWidth="1"/>
    <col min="15" max="15" width="15.8515625" style="367" customWidth="1"/>
    <col min="16" max="16" width="5.57421875" style="367" customWidth="1"/>
    <col min="17" max="17" width="14.28125" style="367" customWidth="1"/>
    <col min="18" max="22" width="15.8515625" style="367" customWidth="1"/>
    <col min="23" max="23" width="14.8515625" style="367" customWidth="1"/>
    <col min="24" max="24" width="11.57421875" style="367" customWidth="1"/>
    <col min="25" max="25" width="20.140625" style="367" customWidth="1"/>
    <col min="26" max="26" width="9.140625" style="367" customWidth="1"/>
    <col min="27" max="27" width="11.57421875" style="367" customWidth="1"/>
    <col min="28" max="28" width="20.140625" style="367" customWidth="1"/>
    <col min="29" max="29" width="12.7109375" style="367" customWidth="1"/>
    <col min="30" max="32" width="13.7109375" style="367" customWidth="1"/>
    <col min="33" max="38" width="9.140625" style="367" customWidth="1"/>
    <col min="39" max="39" width="11.00390625" style="367" customWidth="1"/>
    <col min="40" max="40" width="12.421875" style="367" customWidth="1"/>
    <col min="41" max="41" width="10.421875" style="367" customWidth="1"/>
    <col min="42" max="42" width="10.7109375" style="367" customWidth="1"/>
    <col min="43" max="43" width="12.421875" style="367" customWidth="1"/>
    <col min="44" max="44" width="10.421875" style="367" customWidth="1"/>
    <col min="45" max="45" width="11.7109375" style="367" customWidth="1"/>
    <col min="46" max="46" width="10.421875" style="367" customWidth="1"/>
    <col min="47" max="48" width="9.140625" style="367" customWidth="1"/>
    <col min="49" max="49" width="10.140625" style="367" customWidth="1"/>
    <col min="50" max="16384" width="9.140625" style="367" customWidth="1"/>
  </cols>
  <sheetData>
    <row r="1" ht="12.75" hidden="1"/>
    <row r="2" ht="13.5" hidden="1" thickBot="1"/>
    <row r="3" spans="1:38" ht="13.9" customHeight="1">
      <c r="A3" s="368"/>
      <c r="B3" s="611" t="s">
        <v>361</v>
      </c>
      <c r="C3" s="611"/>
      <c r="D3" s="611"/>
      <c r="E3" s="611"/>
      <c r="F3" s="611"/>
      <c r="G3" s="611"/>
      <c r="H3" s="611"/>
      <c r="I3" s="611"/>
      <c r="J3" s="611"/>
      <c r="K3" s="611"/>
      <c r="L3" s="611"/>
      <c r="M3" s="369"/>
      <c r="S3" s="370"/>
      <c r="AC3" s="370"/>
      <c r="AD3" s="370"/>
      <c r="AE3" s="370"/>
      <c r="AF3" s="370"/>
      <c r="AG3" s="370"/>
      <c r="AH3" s="370"/>
      <c r="AI3" s="370"/>
      <c r="AJ3" s="370"/>
      <c r="AK3" s="370"/>
      <c r="AL3" s="370"/>
    </row>
    <row r="4" spans="1:38" ht="13.5" thickBot="1">
      <c r="A4" s="370"/>
      <c r="B4" s="612"/>
      <c r="C4" s="612"/>
      <c r="D4" s="612"/>
      <c r="E4" s="612"/>
      <c r="F4" s="612"/>
      <c r="G4" s="612"/>
      <c r="H4" s="612"/>
      <c r="I4" s="612"/>
      <c r="J4" s="612"/>
      <c r="K4" s="612"/>
      <c r="L4" s="612"/>
      <c r="M4" s="369"/>
      <c r="AC4" s="370"/>
      <c r="AD4" s="370"/>
      <c r="AE4" s="370"/>
      <c r="AF4" s="370"/>
      <c r="AG4" s="370"/>
      <c r="AH4" s="370"/>
      <c r="AI4" s="370"/>
      <c r="AJ4" s="370"/>
      <c r="AK4" s="370"/>
      <c r="AL4" s="370"/>
    </row>
    <row r="5" spans="2:34" ht="12.75">
      <c r="B5" s="575" t="s">
        <v>16</v>
      </c>
      <c r="C5" s="629"/>
      <c r="D5" s="371" t="s">
        <v>17</v>
      </c>
      <c r="E5" s="371" t="s">
        <v>18</v>
      </c>
      <c r="F5" s="371" t="s">
        <v>19</v>
      </c>
      <c r="G5" s="371" t="s">
        <v>20</v>
      </c>
      <c r="H5" s="429" t="s">
        <v>716</v>
      </c>
      <c r="I5" s="429" t="s">
        <v>717</v>
      </c>
      <c r="J5" s="371" t="s">
        <v>21</v>
      </c>
      <c r="K5" s="371" t="s">
        <v>22</v>
      </c>
      <c r="L5" s="372" t="s">
        <v>23</v>
      </c>
      <c r="O5" s="370"/>
      <c r="P5" s="370"/>
      <c r="Q5" s="370"/>
      <c r="R5" s="373"/>
      <c r="S5" s="370"/>
      <c r="T5" s="373"/>
      <c r="U5" s="373"/>
      <c r="V5" s="373"/>
      <c r="Y5" s="370"/>
      <c r="Z5" s="370"/>
      <c r="AA5" s="370"/>
      <c r="AB5" s="370"/>
      <c r="AC5" s="370"/>
      <c r="AD5" s="370"/>
      <c r="AE5" s="370"/>
      <c r="AF5" s="370"/>
      <c r="AG5" s="370"/>
      <c r="AH5" s="370"/>
    </row>
    <row r="6" spans="2:34" ht="18.6" customHeight="1">
      <c r="B6" s="596" t="s">
        <v>358</v>
      </c>
      <c r="C6" s="597"/>
      <c r="D6" s="618" t="s">
        <v>39</v>
      </c>
      <c r="E6" s="632"/>
      <c r="F6" s="633"/>
      <c r="G6" s="618" t="s">
        <v>664</v>
      </c>
      <c r="H6" s="596"/>
      <c r="I6" s="596"/>
      <c r="J6" s="616" t="s">
        <v>442</v>
      </c>
      <c r="K6" s="617"/>
      <c r="L6" s="617"/>
      <c r="O6" s="370"/>
      <c r="P6" s="370"/>
      <c r="Q6" s="373"/>
      <c r="R6" s="373"/>
      <c r="S6" s="373"/>
      <c r="T6" s="373"/>
      <c r="U6" s="373"/>
      <c r="V6" s="373"/>
      <c r="Y6" s="370"/>
      <c r="Z6" s="370"/>
      <c r="AA6" s="370"/>
      <c r="AB6" s="370"/>
      <c r="AC6" s="370"/>
      <c r="AD6" s="370"/>
      <c r="AE6" s="370"/>
      <c r="AF6" s="370"/>
      <c r="AG6" s="370"/>
      <c r="AH6" s="370"/>
    </row>
    <row r="7" spans="2:34" ht="27" customHeight="1">
      <c r="B7" s="598"/>
      <c r="C7" s="599"/>
      <c r="D7" s="634"/>
      <c r="E7" s="635"/>
      <c r="F7" s="636"/>
      <c r="G7" s="619"/>
      <c r="H7" s="620"/>
      <c r="I7" s="620"/>
      <c r="J7" s="621" t="s">
        <v>29</v>
      </c>
      <c r="K7" s="621" t="s">
        <v>107</v>
      </c>
      <c r="L7" s="618" t="s">
        <v>665</v>
      </c>
      <c r="O7" s="373"/>
      <c r="P7" s="373"/>
      <c r="Q7" s="373"/>
      <c r="R7" s="373"/>
      <c r="S7" s="374"/>
      <c r="T7" s="374"/>
      <c r="U7" s="374"/>
      <c r="V7" s="374"/>
      <c r="Z7" s="375"/>
      <c r="AA7" s="375"/>
      <c r="AB7" s="375"/>
      <c r="AC7" s="375"/>
      <c r="AD7" s="375"/>
      <c r="AE7" s="375"/>
      <c r="AF7" s="375"/>
      <c r="AG7" s="375"/>
      <c r="AH7" s="375"/>
    </row>
    <row r="8" spans="1:34" ht="31.9" customHeight="1">
      <c r="A8" s="370"/>
      <c r="B8" s="598"/>
      <c r="C8" s="599"/>
      <c r="D8" s="592" t="s">
        <v>666</v>
      </c>
      <c r="E8" s="592" t="s">
        <v>667</v>
      </c>
      <c r="F8" s="592" t="s">
        <v>668</v>
      </c>
      <c r="G8" s="613" t="s">
        <v>437</v>
      </c>
      <c r="H8" s="621" t="s">
        <v>438</v>
      </c>
      <c r="I8" s="621" t="s">
        <v>91</v>
      </c>
      <c r="J8" s="622"/>
      <c r="K8" s="622"/>
      <c r="L8" s="628"/>
      <c r="O8" s="373"/>
      <c r="P8" s="373"/>
      <c r="Q8" s="375"/>
      <c r="R8" s="373"/>
      <c r="S8" s="376"/>
      <c r="T8" s="376"/>
      <c r="U8" s="377"/>
      <c r="V8" s="377"/>
      <c r="Z8" s="375"/>
      <c r="AA8" s="375"/>
      <c r="AB8" s="375"/>
      <c r="AC8" s="375"/>
      <c r="AD8" s="375"/>
      <c r="AE8" s="375"/>
      <c r="AF8" s="375"/>
      <c r="AG8" s="375"/>
      <c r="AH8" s="375"/>
    </row>
    <row r="9" spans="1:34" ht="30.6" customHeight="1">
      <c r="A9" s="370"/>
      <c r="B9" s="598"/>
      <c r="C9" s="599"/>
      <c r="D9" s="593"/>
      <c r="E9" s="593"/>
      <c r="F9" s="593"/>
      <c r="G9" s="614"/>
      <c r="H9" s="622"/>
      <c r="I9" s="622"/>
      <c r="J9" s="622"/>
      <c r="K9" s="624" t="s">
        <v>108</v>
      </c>
      <c r="L9" s="626" t="s">
        <v>109</v>
      </c>
      <c r="O9" s="373"/>
      <c r="P9" s="373"/>
      <c r="Q9" s="375"/>
      <c r="R9" s="373"/>
      <c r="S9" s="376"/>
      <c r="T9" s="376"/>
      <c r="U9" s="377"/>
      <c r="V9" s="377"/>
      <c r="Z9" s="375"/>
      <c r="AA9" s="375"/>
      <c r="AB9" s="375"/>
      <c r="AC9" s="375"/>
      <c r="AD9" s="375"/>
      <c r="AE9" s="375"/>
      <c r="AF9" s="375"/>
      <c r="AG9" s="375"/>
      <c r="AH9" s="375"/>
    </row>
    <row r="10" spans="2:34" ht="13.5" thickBot="1">
      <c r="B10" s="600"/>
      <c r="C10" s="601"/>
      <c r="D10" s="594"/>
      <c r="E10" s="594"/>
      <c r="F10" s="594"/>
      <c r="G10" s="615"/>
      <c r="H10" s="623"/>
      <c r="I10" s="623"/>
      <c r="J10" s="623"/>
      <c r="K10" s="625"/>
      <c r="L10" s="627"/>
      <c r="O10" s="373"/>
      <c r="P10" s="373"/>
      <c r="Q10" s="373"/>
      <c r="R10" s="373"/>
      <c r="S10" s="376"/>
      <c r="T10" s="376"/>
      <c r="U10" s="376"/>
      <c r="V10" s="376"/>
      <c r="Z10" s="375"/>
      <c r="AA10" s="375"/>
      <c r="AB10" s="375"/>
      <c r="AC10" s="375"/>
      <c r="AD10" s="375"/>
      <c r="AE10" s="375"/>
      <c r="AF10" s="375"/>
      <c r="AG10" s="375"/>
      <c r="AH10" s="375"/>
    </row>
    <row r="11" spans="2:34" ht="12.75">
      <c r="B11" s="480" t="s">
        <v>105</v>
      </c>
      <c r="C11" s="480"/>
      <c r="D11" s="452"/>
      <c r="E11" s="452"/>
      <c r="F11" s="452"/>
      <c r="G11" s="452"/>
      <c r="H11" s="452"/>
      <c r="I11" s="452"/>
      <c r="J11" s="452"/>
      <c r="K11" s="452"/>
      <c r="L11" s="453"/>
      <c r="O11" s="373"/>
      <c r="P11" s="373"/>
      <c r="Q11" s="373"/>
      <c r="R11" s="373"/>
      <c r="S11" s="376"/>
      <c r="T11" s="376"/>
      <c r="U11" s="376"/>
      <c r="V11" s="376"/>
      <c r="Z11" s="375"/>
      <c r="AA11" s="375"/>
      <c r="AB11" s="375"/>
      <c r="AC11" s="375"/>
      <c r="AD11" s="375"/>
      <c r="AE11" s="375"/>
      <c r="AF11" s="375"/>
      <c r="AG11" s="375"/>
      <c r="AH11" s="375"/>
    </row>
    <row r="12" spans="2:34" ht="12.75">
      <c r="B12" s="481" t="s">
        <v>359</v>
      </c>
      <c r="C12" s="482"/>
      <c r="D12" s="454"/>
      <c r="E12" s="454"/>
      <c r="F12" s="454"/>
      <c r="G12" s="454"/>
      <c r="H12" s="454"/>
      <c r="I12" s="454"/>
      <c r="J12" s="454"/>
      <c r="K12" s="454"/>
      <c r="L12" s="455"/>
      <c r="O12" s="373"/>
      <c r="P12" s="373"/>
      <c r="Q12" s="373"/>
      <c r="R12" s="373"/>
      <c r="S12" s="376"/>
      <c r="T12" s="376"/>
      <c r="U12" s="376"/>
      <c r="V12" s="376"/>
      <c r="Z12" s="375"/>
      <c r="AA12" s="375"/>
      <c r="AB12" s="375"/>
      <c r="AC12" s="375"/>
      <c r="AD12" s="375"/>
      <c r="AE12" s="375"/>
      <c r="AF12" s="375"/>
      <c r="AG12" s="375"/>
      <c r="AH12" s="375"/>
    </row>
    <row r="13" spans="2:34" ht="12.75">
      <c r="B13" s="479"/>
      <c r="C13" s="482"/>
      <c r="D13" s="456"/>
      <c r="E13" s="456"/>
      <c r="F13" s="456"/>
      <c r="G13" s="457"/>
      <c r="H13" s="457"/>
      <c r="I13" s="457"/>
      <c r="J13" s="456"/>
      <c r="K13" s="456"/>
      <c r="L13" s="458"/>
      <c r="O13" s="373"/>
      <c r="P13" s="373"/>
      <c r="Q13" s="373"/>
      <c r="R13" s="373"/>
      <c r="S13" s="376"/>
      <c r="T13" s="376"/>
      <c r="U13" s="376"/>
      <c r="V13" s="376"/>
      <c r="Z13" s="375"/>
      <c r="AA13" s="375"/>
      <c r="AB13" s="375"/>
      <c r="AC13" s="375"/>
      <c r="AD13" s="375"/>
      <c r="AE13" s="375"/>
      <c r="AF13" s="375"/>
      <c r="AG13" s="375"/>
      <c r="AH13" s="375"/>
    </row>
    <row r="14" spans="2:22" ht="12.75">
      <c r="B14" s="481" t="s">
        <v>628</v>
      </c>
      <c r="C14" s="482"/>
      <c r="D14" s="456"/>
      <c r="E14" s="456"/>
      <c r="F14" s="456"/>
      <c r="G14" s="457"/>
      <c r="H14" s="457"/>
      <c r="I14" s="457"/>
      <c r="J14" s="456"/>
      <c r="K14" s="456"/>
      <c r="L14" s="458"/>
      <c r="O14" s="378"/>
      <c r="P14" s="378"/>
      <c r="Q14" s="379"/>
      <c r="R14" s="379"/>
      <c r="S14" s="379"/>
      <c r="T14" s="379"/>
      <c r="U14" s="379"/>
      <c r="V14" s="379"/>
    </row>
    <row r="15" spans="2:22" ht="12.75">
      <c r="B15" s="483"/>
      <c r="C15" s="482"/>
      <c r="D15" s="456"/>
      <c r="E15" s="456"/>
      <c r="F15" s="456"/>
      <c r="G15" s="457"/>
      <c r="H15" s="457"/>
      <c r="I15" s="457"/>
      <c r="J15" s="456"/>
      <c r="K15" s="456"/>
      <c r="L15" s="458"/>
      <c r="O15" s="378"/>
      <c r="P15" s="378"/>
      <c r="Q15" s="379"/>
      <c r="R15" s="379"/>
      <c r="S15" s="379"/>
      <c r="T15" s="379"/>
      <c r="U15" s="379"/>
      <c r="V15" s="379"/>
    </row>
    <row r="16" spans="2:22" ht="12.75">
      <c r="B16" s="481" t="s">
        <v>360</v>
      </c>
      <c r="C16" s="482"/>
      <c r="D16" s="456"/>
      <c r="E16" s="456"/>
      <c r="F16" s="456"/>
      <c r="G16" s="457"/>
      <c r="H16" s="457"/>
      <c r="I16" s="457"/>
      <c r="J16" s="456"/>
      <c r="K16" s="456"/>
      <c r="L16" s="458"/>
      <c r="O16" s="378"/>
      <c r="P16" s="378"/>
      <c r="Q16" s="379"/>
      <c r="R16" s="379"/>
      <c r="S16" s="379"/>
      <c r="T16" s="379"/>
      <c r="U16" s="379"/>
      <c r="V16" s="379"/>
    </row>
    <row r="17" spans="2:22" ht="13.5" thickBot="1">
      <c r="B17" s="483"/>
      <c r="C17" s="482"/>
      <c r="D17" s="456"/>
      <c r="E17" s="456"/>
      <c r="F17" s="456"/>
      <c r="G17" s="457"/>
      <c r="H17" s="457"/>
      <c r="I17" s="457"/>
      <c r="J17" s="456"/>
      <c r="K17" s="456"/>
      <c r="L17" s="458"/>
      <c r="O17" s="378"/>
      <c r="P17" s="378"/>
      <c r="Q17" s="379"/>
      <c r="R17" s="379"/>
      <c r="S17" s="379"/>
      <c r="T17" s="379"/>
      <c r="U17" s="379"/>
      <c r="V17" s="379"/>
    </row>
    <row r="18" spans="2:22" ht="12.75">
      <c r="B18" s="480" t="s">
        <v>106</v>
      </c>
      <c r="C18" s="480"/>
      <c r="D18" s="459"/>
      <c r="E18" s="459"/>
      <c r="F18" s="459"/>
      <c r="G18" s="460"/>
      <c r="H18" s="460"/>
      <c r="I18" s="460"/>
      <c r="J18" s="459"/>
      <c r="K18" s="459"/>
      <c r="L18" s="461"/>
      <c r="O18" s="370"/>
      <c r="P18" s="370"/>
      <c r="Q18" s="370"/>
      <c r="R18" s="370"/>
      <c r="S18" s="370"/>
      <c r="T18" s="373"/>
      <c r="U18" s="373"/>
      <c r="V18" s="373"/>
    </row>
    <row r="19" spans="2:22" ht="12.75">
      <c r="B19" s="481" t="s">
        <v>629</v>
      </c>
      <c r="C19" s="482"/>
      <c r="D19" s="456"/>
      <c r="E19" s="456"/>
      <c r="F19" s="456"/>
      <c r="G19" s="457"/>
      <c r="H19" s="457"/>
      <c r="I19" s="457"/>
      <c r="J19" s="456"/>
      <c r="K19" s="456"/>
      <c r="L19" s="458"/>
      <c r="N19" s="380"/>
      <c r="O19" s="380"/>
      <c r="P19" s="381"/>
      <c r="Q19" s="380"/>
      <c r="R19" s="370"/>
      <c r="S19" s="370"/>
      <c r="T19" s="373"/>
      <c r="U19" s="373"/>
      <c r="V19" s="373"/>
    </row>
    <row r="20" spans="2:22" ht="12.75">
      <c r="B20" s="483"/>
      <c r="C20" s="482"/>
      <c r="D20" s="456"/>
      <c r="E20" s="456"/>
      <c r="F20" s="456"/>
      <c r="G20" s="457"/>
      <c r="H20" s="457"/>
      <c r="I20" s="457"/>
      <c r="J20" s="456"/>
      <c r="K20" s="456"/>
      <c r="L20" s="458"/>
      <c r="N20" s="380"/>
      <c r="O20" s="380"/>
      <c r="P20" s="381"/>
      <c r="Q20" s="380"/>
      <c r="R20" s="370"/>
      <c r="S20" s="370"/>
      <c r="T20" s="373"/>
      <c r="U20" s="373"/>
      <c r="V20" s="373"/>
    </row>
    <row r="21" spans="1:22" ht="12.75">
      <c r="A21" s="382"/>
      <c r="B21" s="481" t="s">
        <v>630</v>
      </c>
      <c r="C21" s="482"/>
      <c r="D21" s="456"/>
      <c r="E21" s="456"/>
      <c r="F21" s="456"/>
      <c r="G21" s="457"/>
      <c r="H21" s="457"/>
      <c r="I21" s="457"/>
      <c r="J21" s="456"/>
      <c r="K21" s="456"/>
      <c r="L21" s="458"/>
      <c r="O21" s="373"/>
      <c r="P21" s="373"/>
      <c r="Q21" s="373"/>
      <c r="R21" s="373"/>
      <c r="S21" s="374"/>
      <c r="T21" s="374"/>
      <c r="U21" s="374"/>
      <c r="V21" s="374"/>
    </row>
    <row r="22" spans="1:22" ht="13.5" thickBot="1">
      <c r="A22" s="382"/>
      <c r="B22" s="483"/>
      <c r="C22" s="482"/>
      <c r="D22" s="462"/>
      <c r="E22" s="462"/>
      <c r="F22" s="462"/>
      <c r="G22" s="462"/>
      <c r="H22" s="462"/>
      <c r="I22" s="463"/>
      <c r="J22" s="462"/>
      <c r="K22" s="462"/>
      <c r="L22" s="464"/>
      <c r="O22" s="373"/>
      <c r="P22" s="373"/>
      <c r="Q22" s="373"/>
      <c r="R22" s="373"/>
      <c r="S22" s="374"/>
      <c r="T22" s="374"/>
      <c r="U22" s="374"/>
      <c r="V22" s="374"/>
    </row>
    <row r="23" spans="1:22" ht="14.25" thickBot="1" thickTop="1">
      <c r="A23" s="368"/>
      <c r="B23" s="630" t="s">
        <v>104</v>
      </c>
      <c r="C23" s="631"/>
      <c r="D23" s="383"/>
      <c r="E23" s="383"/>
      <c r="F23" s="383"/>
      <c r="G23" s="383"/>
      <c r="H23" s="383"/>
      <c r="I23" s="384"/>
      <c r="J23" s="385"/>
      <c r="K23" s="385"/>
      <c r="L23" s="385"/>
      <c r="O23" s="386"/>
      <c r="P23" s="386"/>
      <c r="Q23" s="373"/>
      <c r="R23" s="373"/>
      <c r="S23" s="376"/>
      <c r="T23" s="376"/>
      <c r="U23" s="376"/>
      <c r="V23" s="376"/>
    </row>
    <row r="24" spans="1:46" ht="12.75">
      <c r="A24" s="387"/>
      <c r="B24" s="595"/>
      <c r="C24" s="595"/>
      <c r="D24" s="387"/>
      <c r="E24" s="388"/>
      <c r="F24" s="389"/>
      <c r="G24" s="388"/>
      <c r="H24" s="389"/>
      <c r="I24" s="387"/>
      <c r="J24" s="390"/>
      <c r="K24" s="390"/>
      <c r="M24" s="387"/>
      <c r="W24" s="390"/>
      <c r="X24" s="390"/>
      <c r="Y24" s="390"/>
      <c r="Z24" s="390"/>
      <c r="AA24" s="390"/>
      <c r="AB24" s="390"/>
      <c r="AC24" s="390"/>
      <c r="AD24" s="390"/>
      <c r="AE24" s="390"/>
      <c r="AF24" s="390"/>
      <c r="AG24" s="390"/>
      <c r="AH24" s="390"/>
      <c r="AI24" s="390"/>
      <c r="AJ24" s="390"/>
      <c r="AM24" s="386"/>
      <c r="AN24" s="386"/>
      <c r="AO24" s="375"/>
      <c r="AP24" s="375"/>
      <c r="AQ24" s="375"/>
      <c r="AR24" s="375"/>
      <c r="AS24" s="375"/>
      <c r="AT24" s="375"/>
    </row>
    <row r="25" spans="1:46" ht="12.75">
      <c r="A25" s="387"/>
      <c r="B25" s="580"/>
      <c r="C25" s="580"/>
      <c r="D25" s="387"/>
      <c r="E25" s="388"/>
      <c r="F25" s="389"/>
      <c r="G25" s="388"/>
      <c r="H25" s="389"/>
      <c r="I25" s="387"/>
      <c r="J25" s="390"/>
      <c r="K25" s="390"/>
      <c r="M25" s="387"/>
      <c r="W25" s="390"/>
      <c r="X25" s="390"/>
      <c r="Y25" s="390"/>
      <c r="Z25" s="390"/>
      <c r="AA25" s="390"/>
      <c r="AB25" s="390"/>
      <c r="AC25" s="390"/>
      <c r="AD25" s="390"/>
      <c r="AE25" s="390"/>
      <c r="AF25" s="390"/>
      <c r="AG25" s="390"/>
      <c r="AH25" s="390"/>
      <c r="AI25" s="390"/>
      <c r="AJ25" s="390"/>
      <c r="AM25" s="386"/>
      <c r="AN25" s="386"/>
      <c r="AO25" s="375"/>
      <c r="AP25" s="375"/>
      <c r="AQ25" s="375"/>
      <c r="AR25" s="375"/>
      <c r="AS25" s="375"/>
      <c r="AT25" s="375"/>
    </row>
    <row r="26" spans="1:46" ht="13.5" thickBot="1">
      <c r="A26" s="387"/>
      <c r="B26" s="580"/>
      <c r="C26" s="580"/>
      <c r="D26" s="387"/>
      <c r="E26" s="388"/>
      <c r="F26" s="389"/>
      <c r="G26" s="388"/>
      <c r="H26" s="389"/>
      <c r="I26" s="387"/>
      <c r="J26" s="390"/>
      <c r="K26" s="390"/>
      <c r="M26" s="387"/>
      <c r="W26" s="390"/>
      <c r="X26" s="390"/>
      <c r="Y26" s="390"/>
      <c r="Z26" s="390"/>
      <c r="AA26" s="390"/>
      <c r="AB26" s="390"/>
      <c r="AC26" s="390"/>
      <c r="AD26" s="390"/>
      <c r="AE26" s="390"/>
      <c r="AF26" s="390"/>
      <c r="AG26" s="390"/>
      <c r="AH26" s="390"/>
      <c r="AI26" s="390"/>
      <c r="AJ26" s="390"/>
      <c r="AM26" s="386"/>
      <c r="AN26" s="386"/>
      <c r="AO26" s="375"/>
      <c r="AP26" s="375"/>
      <c r="AQ26" s="375"/>
      <c r="AR26" s="375"/>
      <c r="AS26" s="375"/>
      <c r="AT26" s="375"/>
    </row>
    <row r="27" spans="1:41" ht="13.5" customHeight="1">
      <c r="A27" s="387"/>
      <c r="B27" s="566" t="s">
        <v>362</v>
      </c>
      <c r="C27" s="566"/>
      <c r="D27" s="566"/>
      <c r="E27" s="566"/>
      <c r="I27" s="391"/>
      <c r="K27" s="390"/>
      <c r="L27" s="390"/>
      <c r="M27" s="390"/>
      <c r="N27" s="390"/>
      <c r="O27" s="390"/>
      <c r="P27" s="390"/>
      <c r="Q27" s="390"/>
      <c r="R27" s="390"/>
      <c r="S27" s="390"/>
      <c r="T27" s="390"/>
      <c r="U27" s="390"/>
      <c r="V27" s="390"/>
      <c r="W27" s="390"/>
      <c r="X27" s="390"/>
      <c r="Y27" s="390"/>
      <c r="Z27" s="390"/>
      <c r="AA27" s="390"/>
      <c r="AB27" s="390"/>
      <c r="AC27" s="390"/>
      <c r="AD27" s="390"/>
      <c r="AE27" s="390"/>
      <c r="AH27" s="386"/>
      <c r="AI27" s="386"/>
      <c r="AJ27" s="375"/>
      <c r="AK27" s="375"/>
      <c r="AL27" s="375"/>
      <c r="AM27" s="375"/>
      <c r="AN27" s="375"/>
      <c r="AO27" s="375"/>
    </row>
    <row r="28" spans="1:41" ht="13.5" thickBot="1">
      <c r="A28" s="387"/>
      <c r="B28" s="567"/>
      <c r="C28" s="567"/>
      <c r="D28" s="567"/>
      <c r="E28" s="567"/>
      <c r="I28" s="391"/>
      <c r="K28" s="390"/>
      <c r="L28" s="390"/>
      <c r="M28" s="390"/>
      <c r="N28" s="390"/>
      <c r="O28" s="390"/>
      <c r="P28" s="390"/>
      <c r="Q28" s="390"/>
      <c r="R28" s="390"/>
      <c r="S28" s="390"/>
      <c r="T28" s="390"/>
      <c r="U28" s="390"/>
      <c r="V28" s="390"/>
      <c r="W28" s="390"/>
      <c r="X28" s="390"/>
      <c r="Y28" s="390"/>
      <c r="Z28" s="390"/>
      <c r="AA28" s="390"/>
      <c r="AB28" s="390"/>
      <c r="AC28" s="390"/>
      <c r="AD28" s="390"/>
      <c r="AE28" s="390"/>
      <c r="AH28" s="386"/>
      <c r="AI28" s="386"/>
      <c r="AJ28" s="375"/>
      <c r="AK28" s="375"/>
      <c r="AL28" s="375"/>
      <c r="AM28" s="375"/>
      <c r="AN28" s="375"/>
      <c r="AO28" s="375"/>
    </row>
    <row r="29" spans="1:41" ht="12.75">
      <c r="A29" s="387"/>
      <c r="B29" s="568" t="s">
        <v>16</v>
      </c>
      <c r="C29" s="569"/>
      <c r="D29" s="392" t="s">
        <v>17</v>
      </c>
      <c r="E29" s="393" t="s">
        <v>18</v>
      </c>
      <c r="K29" s="390"/>
      <c r="L29" s="390"/>
      <c r="M29" s="390"/>
      <c r="N29" s="390"/>
      <c r="O29" s="390"/>
      <c r="P29" s="390"/>
      <c r="Q29" s="390"/>
      <c r="R29" s="390"/>
      <c r="S29" s="390"/>
      <c r="T29" s="390"/>
      <c r="U29" s="390"/>
      <c r="V29" s="390"/>
      <c r="W29" s="390"/>
      <c r="X29" s="390"/>
      <c r="Y29" s="390"/>
      <c r="Z29" s="390"/>
      <c r="AA29" s="390"/>
      <c r="AB29" s="390"/>
      <c r="AC29" s="390"/>
      <c r="AD29" s="390"/>
      <c r="AE29" s="390"/>
      <c r="AH29" s="386"/>
      <c r="AI29" s="386"/>
      <c r="AJ29" s="375"/>
      <c r="AK29" s="375"/>
      <c r="AL29" s="375"/>
      <c r="AM29" s="375"/>
      <c r="AN29" s="375"/>
      <c r="AO29" s="375"/>
    </row>
    <row r="30" spans="1:41" ht="14.25">
      <c r="A30" s="387"/>
      <c r="B30" s="570" t="s">
        <v>363</v>
      </c>
      <c r="C30" s="571"/>
      <c r="D30" s="394" t="s">
        <v>669</v>
      </c>
      <c r="E30" s="395" t="s">
        <v>692</v>
      </c>
      <c r="K30" s="390"/>
      <c r="L30" s="390"/>
      <c r="M30" s="390"/>
      <c r="N30" s="390"/>
      <c r="O30" s="390"/>
      <c r="P30" s="390"/>
      <c r="Q30" s="390"/>
      <c r="R30" s="390"/>
      <c r="S30" s="390"/>
      <c r="T30" s="390"/>
      <c r="U30" s="390"/>
      <c r="V30" s="390"/>
      <c r="W30" s="390"/>
      <c r="X30" s="390"/>
      <c r="Y30" s="390"/>
      <c r="Z30" s="390"/>
      <c r="AA30" s="390"/>
      <c r="AB30" s="390"/>
      <c r="AC30" s="390"/>
      <c r="AD30" s="390"/>
      <c r="AE30" s="390"/>
      <c r="AH30" s="386"/>
      <c r="AI30" s="386"/>
      <c r="AJ30" s="375"/>
      <c r="AK30" s="375"/>
      <c r="AL30" s="375"/>
      <c r="AM30" s="375"/>
      <c r="AN30" s="375"/>
      <c r="AO30" s="375"/>
    </row>
    <row r="31" spans="1:41" ht="13.15" customHeight="1">
      <c r="A31" s="387"/>
      <c r="B31" s="396" t="s">
        <v>105</v>
      </c>
      <c r="C31" s="397"/>
      <c r="D31" s="394"/>
      <c r="E31" s="395"/>
      <c r="I31" s="370"/>
      <c r="K31" s="390"/>
      <c r="L31" s="390"/>
      <c r="M31" s="390"/>
      <c r="N31" s="390"/>
      <c r="O31" s="390"/>
      <c r="P31" s="390"/>
      <c r="Q31" s="390"/>
      <c r="R31" s="390"/>
      <c r="S31" s="390"/>
      <c r="T31" s="390"/>
      <c r="U31" s="390"/>
      <c r="V31" s="390"/>
      <c r="W31" s="390"/>
      <c r="X31" s="390"/>
      <c r="Y31" s="390"/>
      <c r="Z31" s="390"/>
      <c r="AA31" s="390"/>
      <c r="AB31" s="390"/>
      <c r="AC31" s="390"/>
      <c r="AD31" s="390"/>
      <c r="AE31" s="390"/>
      <c r="AH31" s="386"/>
      <c r="AI31" s="386"/>
      <c r="AJ31" s="375"/>
      <c r="AK31" s="375"/>
      <c r="AL31" s="375"/>
      <c r="AM31" s="375"/>
      <c r="AN31" s="375"/>
      <c r="AO31" s="375"/>
    </row>
    <row r="32" spans="1:41" ht="13.15" customHeight="1">
      <c r="A32" s="387"/>
      <c r="B32" s="484"/>
      <c r="C32" s="397"/>
      <c r="D32" s="394"/>
      <c r="E32" s="395"/>
      <c r="I32" s="370"/>
      <c r="K32" s="390"/>
      <c r="L32" s="390"/>
      <c r="M32" s="390"/>
      <c r="N32" s="390"/>
      <c r="O32" s="390"/>
      <c r="P32" s="390"/>
      <c r="Q32" s="390"/>
      <c r="R32" s="390"/>
      <c r="S32" s="390"/>
      <c r="T32" s="390"/>
      <c r="U32" s="390"/>
      <c r="V32" s="390"/>
      <c r="W32" s="390"/>
      <c r="X32" s="390"/>
      <c r="Y32" s="390"/>
      <c r="Z32" s="390"/>
      <c r="AA32" s="390"/>
      <c r="AB32" s="390"/>
      <c r="AC32" s="390"/>
      <c r="AD32" s="390"/>
      <c r="AE32" s="390"/>
      <c r="AH32" s="386"/>
      <c r="AI32" s="386"/>
      <c r="AJ32" s="375"/>
      <c r="AK32" s="375"/>
      <c r="AL32" s="375"/>
      <c r="AM32" s="375"/>
      <c r="AN32" s="375"/>
      <c r="AO32" s="375"/>
    </row>
    <row r="33" spans="1:41" ht="12.75">
      <c r="A33" s="387"/>
      <c r="B33" s="396" t="s">
        <v>106</v>
      </c>
      <c r="C33" s="397"/>
      <c r="D33" s="394"/>
      <c r="E33" s="395"/>
      <c r="K33" s="390"/>
      <c r="L33" s="390"/>
      <c r="M33" s="390"/>
      <c r="N33" s="390"/>
      <c r="O33" s="390"/>
      <c r="P33" s="390"/>
      <c r="Q33" s="390"/>
      <c r="R33" s="390"/>
      <c r="S33" s="390"/>
      <c r="T33" s="390"/>
      <c r="U33" s="390"/>
      <c r="V33" s="390"/>
      <c r="W33" s="390"/>
      <c r="X33" s="390"/>
      <c r="Y33" s="390"/>
      <c r="Z33" s="390"/>
      <c r="AA33" s="390"/>
      <c r="AB33" s="390"/>
      <c r="AC33" s="390"/>
      <c r="AD33" s="390"/>
      <c r="AE33" s="390"/>
      <c r="AH33" s="386"/>
      <c r="AI33" s="386"/>
      <c r="AJ33" s="375"/>
      <c r="AK33" s="375"/>
      <c r="AL33" s="375"/>
      <c r="AM33" s="375"/>
      <c r="AN33" s="375"/>
      <c r="AO33" s="375"/>
    </row>
    <row r="34" spans="1:41" ht="13.5" thickBot="1">
      <c r="A34" s="387"/>
      <c r="B34" s="465"/>
      <c r="C34" s="466"/>
      <c r="D34" s="394"/>
      <c r="E34" s="395"/>
      <c r="K34" s="390"/>
      <c r="L34" s="390"/>
      <c r="M34" s="390"/>
      <c r="N34" s="390"/>
      <c r="O34" s="390"/>
      <c r="P34" s="390"/>
      <c r="Q34" s="390"/>
      <c r="R34" s="390"/>
      <c r="S34" s="390"/>
      <c r="T34" s="390"/>
      <c r="U34" s="390"/>
      <c r="V34" s="390"/>
      <c r="W34" s="390"/>
      <c r="X34" s="390"/>
      <c r="Y34" s="390"/>
      <c r="Z34" s="390"/>
      <c r="AA34" s="390"/>
      <c r="AB34" s="390"/>
      <c r="AC34" s="390"/>
      <c r="AD34" s="390"/>
      <c r="AE34" s="390"/>
      <c r="AH34" s="386"/>
      <c r="AI34" s="386"/>
      <c r="AJ34" s="375"/>
      <c r="AK34" s="375"/>
      <c r="AL34" s="375"/>
      <c r="AM34" s="375"/>
      <c r="AN34" s="375"/>
      <c r="AO34" s="375"/>
    </row>
    <row r="35" spans="1:41" ht="14.25" thickBot="1" thickTop="1">
      <c r="A35" s="387"/>
      <c r="B35" s="398" t="s">
        <v>104</v>
      </c>
      <c r="C35" s="399"/>
      <c r="D35" s="400"/>
      <c r="E35" s="401"/>
      <c r="K35" s="390"/>
      <c r="L35" s="390"/>
      <c r="M35" s="390"/>
      <c r="N35" s="390"/>
      <c r="O35" s="390"/>
      <c r="P35" s="390"/>
      <c r="Q35" s="390"/>
      <c r="R35" s="390"/>
      <c r="S35" s="390"/>
      <c r="T35" s="390"/>
      <c r="U35" s="390"/>
      <c r="V35" s="390"/>
      <c r="W35" s="390"/>
      <c r="X35" s="390"/>
      <c r="Y35" s="390"/>
      <c r="Z35" s="390"/>
      <c r="AA35" s="390"/>
      <c r="AB35" s="390"/>
      <c r="AC35" s="390"/>
      <c r="AD35" s="390"/>
      <c r="AE35" s="390"/>
      <c r="AH35" s="386"/>
      <c r="AI35" s="386"/>
      <c r="AJ35" s="375"/>
      <c r="AK35" s="375"/>
      <c r="AL35" s="375"/>
      <c r="AM35" s="375"/>
      <c r="AN35" s="375"/>
      <c r="AO35" s="375"/>
    </row>
    <row r="36" spans="1:46" ht="12.75">
      <c r="A36" s="387"/>
      <c r="B36" s="580"/>
      <c r="C36" s="580"/>
      <c r="D36" s="387"/>
      <c r="F36" s="387"/>
      <c r="H36" s="387"/>
      <c r="I36" s="387"/>
      <c r="J36" s="390"/>
      <c r="K36" s="390"/>
      <c r="M36" s="387"/>
      <c r="W36" s="390"/>
      <c r="X36" s="390"/>
      <c r="Y36" s="390"/>
      <c r="Z36" s="390"/>
      <c r="AA36" s="390"/>
      <c r="AB36" s="390"/>
      <c r="AC36" s="390"/>
      <c r="AD36" s="390"/>
      <c r="AE36" s="390"/>
      <c r="AF36" s="390"/>
      <c r="AG36" s="390"/>
      <c r="AH36" s="390"/>
      <c r="AI36" s="390"/>
      <c r="AJ36" s="390"/>
      <c r="AM36" s="386"/>
      <c r="AN36" s="386"/>
      <c r="AO36" s="375"/>
      <c r="AP36" s="375"/>
      <c r="AQ36" s="375"/>
      <c r="AR36" s="375"/>
      <c r="AS36" s="375"/>
      <c r="AT36" s="375"/>
    </row>
    <row r="37" spans="2:46" ht="13.5" thickBot="1">
      <c r="B37" s="580"/>
      <c r="C37" s="580"/>
      <c r="D37" s="373"/>
      <c r="E37" s="373"/>
      <c r="J37" s="390"/>
      <c r="K37" s="390"/>
      <c r="W37" s="390"/>
      <c r="X37" s="390"/>
      <c r="Y37" s="390"/>
      <c r="Z37" s="390"/>
      <c r="AA37" s="390"/>
      <c r="AB37" s="390"/>
      <c r="AC37" s="390"/>
      <c r="AD37" s="390"/>
      <c r="AE37" s="390"/>
      <c r="AF37" s="390"/>
      <c r="AG37" s="390"/>
      <c r="AH37" s="390"/>
      <c r="AI37" s="390"/>
      <c r="AJ37" s="390"/>
      <c r="AM37" s="373"/>
      <c r="AN37" s="379"/>
      <c r="AO37" s="379"/>
      <c r="AP37" s="379"/>
      <c r="AQ37" s="379"/>
      <c r="AR37" s="379"/>
      <c r="AS37" s="379"/>
      <c r="AT37" s="379"/>
    </row>
    <row r="38" spans="1:45" ht="13.9" customHeight="1" thickTop="1">
      <c r="A38" s="402" t="s">
        <v>364</v>
      </c>
      <c r="B38" s="578" t="s">
        <v>364</v>
      </c>
      <c r="C38" s="578"/>
      <c r="D38" s="578"/>
      <c r="E38" s="578"/>
      <c r="F38" s="578"/>
      <c r="G38" s="578"/>
      <c r="H38" s="578"/>
      <c r="I38" s="578"/>
      <c r="J38" s="578"/>
      <c r="K38" s="578"/>
      <c r="L38" s="578"/>
      <c r="M38" s="578"/>
      <c r="N38" s="578"/>
      <c r="O38" s="403"/>
      <c r="P38" s="403"/>
      <c r="Q38" s="403"/>
      <c r="R38" s="403"/>
      <c r="S38" s="403"/>
      <c r="T38" s="403"/>
      <c r="U38" s="403"/>
      <c r="V38" s="390"/>
      <c r="W38" s="390"/>
      <c r="X38" s="390"/>
      <c r="Y38" s="390"/>
      <c r="Z38" s="390"/>
      <c r="AA38" s="390"/>
      <c r="AB38" s="390"/>
      <c r="AC38" s="390"/>
      <c r="AD38" s="390"/>
      <c r="AE38" s="390"/>
      <c r="AF38" s="390"/>
      <c r="AG38" s="390"/>
      <c r="AH38" s="390"/>
      <c r="AI38" s="390"/>
      <c r="AL38" s="378"/>
      <c r="AM38" s="378"/>
      <c r="AN38" s="379"/>
      <c r="AO38" s="379"/>
      <c r="AP38" s="379"/>
      <c r="AQ38" s="379"/>
      <c r="AR38" s="379"/>
      <c r="AS38" s="379"/>
    </row>
    <row r="39" spans="1:45" ht="13.5" thickBot="1">
      <c r="A39" s="404"/>
      <c r="B39" s="579"/>
      <c r="C39" s="579"/>
      <c r="D39" s="579"/>
      <c r="E39" s="579"/>
      <c r="F39" s="579"/>
      <c r="G39" s="579"/>
      <c r="H39" s="579"/>
      <c r="I39" s="579"/>
      <c r="J39" s="579"/>
      <c r="K39" s="579"/>
      <c r="L39" s="579"/>
      <c r="M39" s="579"/>
      <c r="N39" s="579"/>
      <c r="O39" s="403"/>
      <c r="P39" s="403"/>
      <c r="Q39" s="403"/>
      <c r="R39" s="403"/>
      <c r="S39" s="403"/>
      <c r="T39" s="403"/>
      <c r="U39" s="403"/>
      <c r="V39" s="390"/>
      <c r="W39" s="390"/>
      <c r="X39" s="390"/>
      <c r="Y39" s="390"/>
      <c r="Z39" s="390"/>
      <c r="AA39" s="390"/>
      <c r="AB39" s="390"/>
      <c r="AC39" s="390"/>
      <c r="AD39" s="390"/>
      <c r="AE39" s="390"/>
      <c r="AF39" s="390"/>
      <c r="AG39" s="390"/>
      <c r="AH39" s="390"/>
      <c r="AI39" s="390"/>
      <c r="AL39" s="379"/>
      <c r="AM39" s="379"/>
      <c r="AN39" s="379"/>
      <c r="AO39" s="379"/>
      <c r="AP39" s="379"/>
      <c r="AQ39" s="379"/>
      <c r="AR39" s="379"/>
      <c r="AS39" s="379"/>
    </row>
    <row r="40" spans="1:45" ht="12.75">
      <c r="A40" s="575" t="s">
        <v>16</v>
      </c>
      <c r="B40" s="576"/>
      <c r="C40" s="576"/>
      <c r="D40" s="576"/>
      <c r="E40" s="576" t="s">
        <v>17</v>
      </c>
      <c r="F40" s="576"/>
      <c r="G40" s="576" t="s">
        <v>18</v>
      </c>
      <c r="H40" s="576"/>
      <c r="I40" s="576" t="s">
        <v>19</v>
      </c>
      <c r="J40" s="576"/>
      <c r="K40" s="576" t="s">
        <v>21</v>
      </c>
      <c r="L40" s="576"/>
      <c r="M40" s="576" t="s">
        <v>20</v>
      </c>
      <c r="N40" s="587"/>
      <c r="O40" s="387"/>
      <c r="S40" s="387"/>
      <c r="T40" s="387"/>
      <c r="U40" s="387"/>
      <c r="V40" s="373"/>
      <c r="W40" s="373"/>
      <c r="X40" s="373"/>
      <c r="Y40" s="373"/>
      <c r="Z40" s="373"/>
      <c r="AA40" s="373"/>
      <c r="AB40" s="370"/>
      <c r="AC40" s="373"/>
      <c r="AD40" s="373"/>
      <c r="AE40" s="373"/>
      <c r="AF40" s="370"/>
      <c r="AG40" s="370"/>
      <c r="AH40" s="370"/>
      <c r="AI40" s="370"/>
      <c r="AL40" s="379"/>
      <c r="AM40" s="379"/>
      <c r="AN40" s="379"/>
      <c r="AO40" s="379"/>
      <c r="AP40" s="379"/>
      <c r="AQ40" s="379"/>
      <c r="AR40" s="379"/>
      <c r="AS40" s="379"/>
    </row>
    <row r="41" spans="1:45" ht="14.25" customHeight="1">
      <c r="A41" s="606" t="s">
        <v>38</v>
      </c>
      <c r="B41" s="607"/>
      <c r="C41" s="607"/>
      <c r="D41" s="607"/>
      <c r="E41" s="577" t="s">
        <v>670</v>
      </c>
      <c r="F41" s="577"/>
      <c r="G41" s="577" t="s">
        <v>671</v>
      </c>
      <c r="H41" s="577"/>
      <c r="I41" s="577" t="s">
        <v>672</v>
      </c>
      <c r="J41" s="577"/>
      <c r="K41" s="577" t="s">
        <v>713</v>
      </c>
      <c r="L41" s="577"/>
      <c r="M41" s="572" t="s">
        <v>673</v>
      </c>
      <c r="N41" s="573"/>
      <c r="O41" s="405"/>
      <c r="S41" s="388"/>
      <c r="T41" s="388"/>
      <c r="U41" s="388"/>
      <c r="V41" s="390"/>
      <c r="W41" s="390"/>
      <c r="X41" s="390"/>
      <c r="Y41" s="390"/>
      <c r="Z41" s="390"/>
      <c r="AA41" s="390"/>
      <c r="AB41" s="390"/>
      <c r="AC41" s="390"/>
      <c r="AD41" s="390"/>
      <c r="AE41" s="390"/>
      <c r="AF41" s="390"/>
      <c r="AG41" s="390"/>
      <c r="AH41" s="390"/>
      <c r="AI41" s="390"/>
      <c r="AL41" s="379"/>
      <c r="AM41" s="379"/>
      <c r="AN41" s="379"/>
      <c r="AO41" s="379"/>
      <c r="AP41" s="379"/>
      <c r="AQ41" s="379"/>
      <c r="AR41" s="379"/>
      <c r="AS41" s="379"/>
    </row>
    <row r="42" spans="1:44" ht="14.25">
      <c r="A42" s="602" t="s">
        <v>31</v>
      </c>
      <c r="B42" s="603"/>
      <c r="C42" s="603"/>
      <c r="D42" s="603"/>
      <c r="E42" s="574" t="s">
        <v>674</v>
      </c>
      <c r="F42" s="574"/>
      <c r="G42" s="574" t="s">
        <v>675</v>
      </c>
      <c r="H42" s="574"/>
      <c r="I42" s="574" t="s">
        <v>676</v>
      </c>
      <c r="J42" s="574"/>
      <c r="K42" s="574" t="s">
        <v>211</v>
      </c>
      <c r="L42" s="574"/>
      <c r="M42" s="574" t="s">
        <v>714</v>
      </c>
      <c r="N42" s="582"/>
      <c r="O42" s="406"/>
      <c r="S42" s="406"/>
      <c r="T42" s="406"/>
      <c r="U42" s="406"/>
      <c r="V42" s="390"/>
      <c r="W42" s="390"/>
      <c r="X42" s="390"/>
      <c r="Y42" s="390"/>
      <c r="Z42" s="390"/>
      <c r="AA42" s="390"/>
      <c r="AB42" s="390"/>
      <c r="AC42" s="390"/>
      <c r="AD42" s="390"/>
      <c r="AE42" s="390"/>
      <c r="AF42" s="390"/>
      <c r="AG42" s="390"/>
      <c r="AH42" s="390"/>
      <c r="AI42" s="390"/>
      <c r="AL42" s="407"/>
      <c r="AM42" s="408"/>
      <c r="AN42" s="408"/>
      <c r="AO42" s="408"/>
      <c r="AP42" s="408"/>
      <c r="AQ42" s="408"/>
      <c r="AR42" s="382"/>
    </row>
    <row r="43" spans="1:44" ht="12.75">
      <c r="A43" s="602"/>
      <c r="B43" s="603"/>
      <c r="C43" s="603"/>
      <c r="D43" s="603"/>
      <c r="E43" s="590">
        <f>+D23</f>
        <v>0</v>
      </c>
      <c r="F43" s="590"/>
      <c r="G43" s="610">
        <f>+D35</f>
        <v>0</v>
      </c>
      <c r="H43" s="610"/>
      <c r="I43" s="588">
        <f>+E35</f>
        <v>0</v>
      </c>
      <c r="J43" s="588"/>
      <c r="K43" s="588">
        <f>+SUM(E43:J43)</f>
        <v>0</v>
      </c>
      <c r="L43" s="588"/>
      <c r="M43" s="583">
        <f>+L23+G43+I43</f>
        <v>0</v>
      </c>
      <c r="N43" s="584"/>
      <c r="O43" s="409"/>
      <c r="S43" s="410"/>
      <c r="T43" s="410"/>
      <c r="U43" s="410"/>
      <c r="V43" s="390"/>
      <c r="W43" s="390"/>
      <c r="X43" s="390"/>
      <c r="Y43" s="390"/>
      <c r="Z43" s="390"/>
      <c r="AA43" s="390"/>
      <c r="AB43" s="390"/>
      <c r="AC43" s="390"/>
      <c r="AD43" s="390"/>
      <c r="AE43" s="390"/>
      <c r="AF43" s="390"/>
      <c r="AG43" s="390"/>
      <c r="AH43" s="390"/>
      <c r="AI43" s="390"/>
      <c r="AL43" s="407"/>
      <c r="AM43" s="408"/>
      <c r="AN43" s="408"/>
      <c r="AO43" s="408"/>
      <c r="AP43" s="408"/>
      <c r="AQ43" s="408"/>
      <c r="AR43" s="382"/>
    </row>
    <row r="44" spans="1:44" ht="14.25">
      <c r="A44" s="602" t="s">
        <v>110</v>
      </c>
      <c r="B44" s="603"/>
      <c r="C44" s="603"/>
      <c r="D44" s="603"/>
      <c r="E44" s="574" t="s">
        <v>677</v>
      </c>
      <c r="F44" s="574"/>
      <c r="G44" s="574" t="s">
        <v>675</v>
      </c>
      <c r="H44" s="574"/>
      <c r="I44" s="574" t="s">
        <v>676</v>
      </c>
      <c r="J44" s="574"/>
      <c r="K44" s="574" t="s">
        <v>211</v>
      </c>
      <c r="L44" s="574"/>
      <c r="M44" s="574" t="s">
        <v>678</v>
      </c>
      <c r="N44" s="582"/>
      <c r="O44" s="406"/>
      <c r="P44" s="406"/>
      <c r="Q44" s="406"/>
      <c r="R44" s="406"/>
      <c r="S44" s="406"/>
      <c r="T44" s="406"/>
      <c r="U44" s="406"/>
      <c r="V44" s="390"/>
      <c r="W44" s="390"/>
      <c r="X44" s="390"/>
      <c r="Y44" s="390"/>
      <c r="Z44" s="390"/>
      <c r="AA44" s="390"/>
      <c r="AB44" s="390"/>
      <c r="AC44" s="390"/>
      <c r="AD44" s="390"/>
      <c r="AE44" s="390"/>
      <c r="AF44" s="390"/>
      <c r="AG44" s="390"/>
      <c r="AH44" s="390"/>
      <c r="AI44" s="390"/>
      <c r="AL44" s="407"/>
      <c r="AM44" s="408"/>
      <c r="AN44" s="408"/>
      <c r="AO44" s="408"/>
      <c r="AP44" s="408"/>
      <c r="AQ44" s="408"/>
      <c r="AR44" s="382"/>
    </row>
    <row r="45" spans="1:53" ht="12.75">
      <c r="A45" s="602"/>
      <c r="B45" s="603"/>
      <c r="C45" s="603"/>
      <c r="D45" s="603"/>
      <c r="E45" s="590">
        <f>+E23</f>
        <v>0</v>
      </c>
      <c r="F45" s="590"/>
      <c r="G45" s="609">
        <f>+D35</f>
        <v>0</v>
      </c>
      <c r="H45" s="609"/>
      <c r="I45" s="590">
        <f>+E35</f>
        <v>0</v>
      </c>
      <c r="J45" s="590"/>
      <c r="K45" s="588">
        <f>+SUM(E45:J45)</f>
        <v>0</v>
      </c>
      <c r="L45" s="588"/>
      <c r="M45" s="583">
        <f>+IF(M43&gt;0,(+M43*K45/K43),0)</f>
        <v>0</v>
      </c>
      <c r="N45" s="584"/>
      <c r="O45" s="410"/>
      <c r="P45" s="410"/>
      <c r="Q45" s="410"/>
      <c r="R45" s="410"/>
      <c r="S45" s="410"/>
      <c r="T45" s="410"/>
      <c r="U45" s="410"/>
      <c r="V45" s="390"/>
      <c r="W45" s="390"/>
      <c r="X45" s="390"/>
      <c r="Y45" s="390"/>
      <c r="Z45" s="390"/>
      <c r="AA45" s="390"/>
      <c r="AB45" s="390"/>
      <c r="AC45" s="390"/>
      <c r="AD45" s="390"/>
      <c r="AE45" s="390"/>
      <c r="AF45" s="390"/>
      <c r="AG45" s="390"/>
      <c r="AH45" s="390"/>
      <c r="AI45" s="390"/>
      <c r="AL45" s="408"/>
      <c r="AM45" s="408"/>
      <c r="AN45" s="408"/>
      <c r="AO45" s="408"/>
      <c r="AP45" s="408"/>
      <c r="AQ45" s="408"/>
      <c r="AR45" s="382"/>
      <c r="AS45" s="411"/>
      <c r="AT45" s="411"/>
      <c r="AU45" s="411"/>
      <c r="AV45" s="411"/>
      <c r="AW45" s="411"/>
      <c r="AX45" s="411"/>
      <c r="AY45" s="411"/>
      <c r="AZ45" s="411"/>
      <c r="BA45" s="411"/>
    </row>
    <row r="46" spans="1:53" ht="14.25">
      <c r="A46" s="602" t="s">
        <v>111</v>
      </c>
      <c r="B46" s="603"/>
      <c r="C46" s="603"/>
      <c r="D46" s="603"/>
      <c r="E46" s="574" t="s">
        <v>679</v>
      </c>
      <c r="F46" s="574"/>
      <c r="G46" s="581" t="s">
        <v>14</v>
      </c>
      <c r="H46" s="574"/>
      <c r="I46" s="581" t="s">
        <v>14</v>
      </c>
      <c r="J46" s="574"/>
      <c r="K46" s="574" t="s">
        <v>211</v>
      </c>
      <c r="L46" s="574"/>
      <c r="M46" s="574" t="s">
        <v>680</v>
      </c>
      <c r="N46" s="582"/>
      <c r="O46" s="406"/>
      <c r="P46" s="406"/>
      <c r="Q46" s="406"/>
      <c r="R46" s="406"/>
      <c r="S46" s="406"/>
      <c r="T46" s="406"/>
      <c r="U46" s="406"/>
      <c r="V46" s="390"/>
      <c r="W46" s="390"/>
      <c r="X46" s="390"/>
      <c r="Y46" s="390"/>
      <c r="Z46" s="390"/>
      <c r="AA46" s="390"/>
      <c r="AB46" s="390"/>
      <c r="AC46" s="390"/>
      <c r="AD46" s="390"/>
      <c r="AE46" s="390"/>
      <c r="AF46" s="390"/>
      <c r="AG46" s="390"/>
      <c r="AH46" s="390"/>
      <c r="AI46" s="390"/>
      <c r="AL46" s="368"/>
      <c r="AO46" s="370"/>
      <c r="AS46" s="373"/>
      <c r="AX46" s="373"/>
      <c r="AY46" s="373"/>
      <c r="AZ46" s="373"/>
      <c r="BA46" s="373"/>
    </row>
    <row r="47" spans="1:52" ht="13.5" thickBot="1">
      <c r="A47" s="604"/>
      <c r="B47" s="605"/>
      <c r="C47" s="605"/>
      <c r="D47" s="605"/>
      <c r="E47" s="608">
        <f>+F23</f>
        <v>0</v>
      </c>
      <c r="F47" s="608"/>
      <c r="G47" s="591">
        <v>0</v>
      </c>
      <c r="H47" s="591"/>
      <c r="I47" s="591">
        <v>0</v>
      </c>
      <c r="J47" s="591"/>
      <c r="K47" s="589">
        <f>+SUM(E47:J47)</f>
        <v>0</v>
      </c>
      <c r="L47" s="589"/>
      <c r="M47" s="585">
        <f>+IF(M43&gt;0,(+M43*K47/K43),0)</f>
        <v>0</v>
      </c>
      <c r="N47" s="586"/>
      <c r="O47" s="410"/>
      <c r="P47" s="410"/>
      <c r="Q47" s="410"/>
      <c r="R47" s="410"/>
      <c r="S47" s="410"/>
      <c r="T47" s="410"/>
      <c r="U47" s="410"/>
      <c r="V47" s="390"/>
      <c r="W47" s="390"/>
      <c r="X47" s="390"/>
      <c r="Y47" s="390"/>
      <c r="Z47" s="390"/>
      <c r="AA47" s="390"/>
      <c r="AB47" s="390"/>
      <c r="AC47" s="390"/>
      <c r="AD47" s="390"/>
      <c r="AE47" s="390"/>
      <c r="AF47" s="390"/>
      <c r="AG47" s="390"/>
      <c r="AH47" s="390"/>
      <c r="AI47" s="390"/>
      <c r="AL47" s="412"/>
      <c r="AM47" s="412"/>
      <c r="AN47" s="373"/>
      <c r="AO47" s="413"/>
      <c r="AP47" s="370"/>
      <c r="AQ47" s="411"/>
      <c r="AS47" s="370"/>
      <c r="AX47" s="370"/>
      <c r="AY47" s="370"/>
      <c r="AZ47" s="370"/>
    </row>
    <row r="48" spans="1:53" ht="12.75">
      <c r="A48" s="387"/>
      <c r="C48" s="387"/>
      <c r="D48" s="387"/>
      <c r="E48" s="387"/>
      <c r="F48" s="387"/>
      <c r="G48" s="387"/>
      <c r="H48" s="387"/>
      <c r="I48" s="387"/>
      <c r="J48" s="390"/>
      <c r="K48" s="390"/>
      <c r="L48" s="387"/>
      <c r="M48" s="387"/>
      <c r="N48" s="387"/>
      <c r="W48" s="390"/>
      <c r="X48" s="390"/>
      <c r="Y48" s="390"/>
      <c r="Z48" s="390"/>
      <c r="AA48" s="390"/>
      <c r="AB48" s="390"/>
      <c r="AC48" s="390"/>
      <c r="AD48" s="390"/>
      <c r="AE48" s="390"/>
      <c r="AF48" s="390"/>
      <c r="AG48" s="390"/>
      <c r="AH48" s="390"/>
      <c r="AI48" s="390"/>
      <c r="AJ48" s="390"/>
      <c r="AM48" s="373"/>
      <c r="AN48" s="373"/>
      <c r="AP48" s="388"/>
      <c r="AQ48" s="373"/>
      <c r="AR48" s="388"/>
      <c r="AS48" s="388"/>
      <c r="AY48" s="370"/>
      <c r="AZ48" s="370"/>
      <c r="BA48" s="370"/>
    </row>
    <row r="49" spans="1:14" ht="12.75">
      <c r="A49" s="414"/>
      <c r="C49" s="388"/>
      <c r="D49" s="388"/>
      <c r="E49" s="388"/>
      <c r="F49" s="388"/>
      <c r="G49" s="388"/>
      <c r="H49" s="388"/>
      <c r="I49" s="388"/>
      <c r="L49" s="388"/>
      <c r="M49" s="388"/>
      <c r="N49" s="388"/>
    </row>
    <row r="50" spans="1:14" ht="13.5" customHeight="1">
      <c r="A50" s="412"/>
      <c r="L50" s="388"/>
      <c r="M50" s="388"/>
      <c r="N50" s="388"/>
    </row>
    <row r="51" spans="1:14" ht="12.75">
      <c r="A51" s="414"/>
      <c r="L51" s="388"/>
      <c r="M51" s="388"/>
      <c r="N51" s="388"/>
    </row>
    <row r="52" spans="1:14" ht="12.75">
      <c r="A52" s="414"/>
      <c r="L52" s="388"/>
      <c r="M52" s="388"/>
      <c r="N52" s="388"/>
    </row>
    <row r="53" spans="1:14" ht="12" customHeight="1">
      <c r="A53" s="414"/>
      <c r="L53" s="388"/>
      <c r="M53" s="388"/>
      <c r="N53" s="388"/>
    </row>
    <row r="54" spans="1:12" ht="12.75">
      <c r="A54" s="370"/>
      <c r="L54" s="373"/>
    </row>
    <row r="55" spans="1:14" ht="12.75">
      <c r="A55" s="368"/>
      <c r="L55" s="368"/>
      <c r="M55" s="368"/>
      <c r="N55" s="368"/>
    </row>
    <row r="56" spans="1:14" ht="12.75">
      <c r="A56" s="415"/>
      <c r="L56" s="412"/>
      <c r="M56" s="412"/>
      <c r="N56" s="412"/>
    </row>
    <row r="57" spans="1:14" ht="12.75">
      <c r="A57" s="407"/>
      <c r="L57" s="370"/>
      <c r="M57" s="370"/>
      <c r="N57" s="370"/>
    </row>
    <row r="58" spans="1:14" ht="12.75">
      <c r="A58" s="407"/>
      <c r="L58" s="370"/>
      <c r="M58" s="370"/>
      <c r="N58" s="370"/>
    </row>
    <row r="59" spans="1:14" ht="12.75">
      <c r="A59" s="407"/>
      <c r="L59" s="370"/>
      <c r="M59" s="370"/>
      <c r="N59" s="370"/>
    </row>
    <row r="60" spans="1:14" ht="12.75">
      <c r="A60" s="407"/>
      <c r="L60" s="370"/>
      <c r="M60" s="370"/>
      <c r="N60" s="370"/>
    </row>
    <row r="61" spans="1:14" ht="12.75">
      <c r="A61" s="407"/>
      <c r="L61" s="370"/>
      <c r="M61" s="370"/>
      <c r="N61" s="370"/>
    </row>
    <row r="62" spans="1:14" ht="12.75">
      <c r="A62" s="407"/>
      <c r="L62" s="370"/>
      <c r="M62" s="370"/>
      <c r="N62" s="370"/>
    </row>
    <row r="63" spans="1:14" ht="12.75">
      <c r="A63" s="407"/>
      <c r="L63" s="370"/>
      <c r="M63" s="370"/>
      <c r="N63" s="370"/>
    </row>
    <row r="64" spans="1:14" ht="12.75">
      <c r="A64" s="407"/>
      <c r="L64" s="370"/>
      <c r="M64" s="370"/>
      <c r="N64" s="370"/>
    </row>
    <row r="65" spans="1:14" ht="12.75">
      <c r="A65" s="407"/>
      <c r="L65" s="370"/>
      <c r="M65" s="370"/>
      <c r="N65" s="370"/>
    </row>
    <row r="66" spans="1:14" ht="12.75">
      <c r="A66" s="407"/>
      <c r="L66" s="370"/>
      <c r="M66" s="370"/>
      <c r="N66" s="370"/>
    </row>
    <row r="67" spans="1:14" ht="12.75">
      <c r="A67" s="407"/>
      <c r="L67" s="370"/>
      <c r="M67" s="370"/>
      <c r="N67" s="370"/>
    </row>
    <row r="68" spans="1:14" ht="12.75">
      <c r="A68" s="407"/>
      <c r="L68" s="370"/>
      <c r="M68" s="370"/>
      <c r="N68" s="370"/>
    </row>
    <row r="69" spans="1:14" ht="12.75">
      <c r="A69" s="407"/>
      <c r="L69" s="370"/>
      <c r="M69" s="370"/>
      <c r="N69" s="370"/>
    </row>
    <row r="70" spans="1:14" ht="12.75">
      <c r="A70" s="407"/>
      <c r="L70" s="370"/>
      <c r="M70" s="370"/>
      <c r="N70" s="370"/>
    </row>
    <row r="71" spans="1:14" ht="12.75">
      <c r="A71" s="407"/>
      <c r="L71" s="370"/>
      <c r="M71" s="370"/>
      <c r="N71" s="370"/>
    </row>
    <row r="72" spans="1:14" ht="12.75">
      <c r="A72" s="407"/>
      <c r="L72" s="370"/>
      <c r="M72" s="370"/>
      <c r="N72" s="370"/>
    </row>
    <row r="73" spans="1:14" ht="12.75">
      <c r="A73" s="407"/>
      <c r="L73" s="370"/>
      <c r="M73" s="370"/>
      <c r="N73" s="370"/>
    </row>
    <row r="74" spans="1:14" ht="12.75">
      <c r="A74" s="382"/>
      <c r="N74" s="387"/>
    </row>
    <row r="75" spans="1:14" ht="12.75">
      <c r="A75" s="412"/>
      <c r="L75" s="373"/>
      <c r="M75" s="373"/>
      <c r="N75" s="390"/>
    </row>
    <row r="76" spans="1:14" ht="12.75">
      <c r="A76" s="412"/>
      <c r="L76" s="373"/>
      <c r="M76" s="373"/>
      <c r="N76" s="390"/>
    </row>
    <row r="77" spans="1:14" ht="39.6" customHeight="1">
      <c r="A77" s="412"/>
      <c r="L77" s="373"/>
      <c r="M77" s="373"/>
      <c r="N77" s="390"/>
    </row>
    <row r="78" spans="1:14" ht="27" customHeight="1">
      <c r="A78" s="412"/>
      <c r="L78" s="373"/>
      <c r="M78" s="373"/>
      <c r="N78" s="390"/>
    </row>
    <row r="79" spans="1:14" ht="26.45" customHeight="1">
      <c r="A79" s="412"/>
      <c r="L79" s="373"/>
      <c r="M79" s="373"/>
      <c r="N79" s="390"/>
    </row>
    <row r="80" spans="1:14" ht="12.75">
      <c r="A80" s="415"/>
      <c r="B80" s="412"/>
      <c r="C80" s="412"/>
      <c r="D80" s="412"/>
      <c r="E80" s="412"/>
      <c r="F80" s="412"/>
      <c r="G80" s="412"/>
      <c r="H80" s="412"/>
      <c r="I80" s="412"/>
      <c r="L80" s="412"/>
      <c r="M80" s="412"/>
      <c r="N80" s="412"/>
    </row>
    <row r="85" spans="1:14" ht="12.75">
      <c r="A85" s="387"/>
      <c r="B85" s="387"/>
      <c r="C85" s="387"/>
      <c r="D85" s="387"/>
      <c r="E85" s="387"/>
      <c r="F85" s="387"/>
      <c r="G85" s="387"/>
      <c r="H85" s="387"/>
      <c r="I85" s="387"/>
      <c r="L85" s="387"/>
      <c r="M85" s="387"/>
      <c r="N85" s="387"/>
    </row>
    <row r="86" spans="1:14" ht="12.75">
      <c r="A86" s="416"/>
      <c r="B86" s="416"/>
      <c r="C86" s="416"/>
      <c r="D86" s="407"/>
      <c r="E86" s="407"/>
      <c r="F86" s="407"/>
      <c r="G86" s="407"/>
      <c r="H86" s="407"/>
      <c r="I86" s="407"/>
      <c r="L86" s="407"/>
      <c r="N86" s="407"/>
    </row>
    <row r="87" spans="1:14" ht="12.75">
      <c r="A87" s="416"/>
      <c r="B87" s="416"/>
      <c r="C87" s="416"/>
      <c r="D87" s="387"/>
      <c r="G87" s="387"/>
      <c r="L87" s="387"/>
      <c r="M87" s="387"/>
      <c r="N87" s="387"/>
    </row>
    <row r="88" spans="1:14" ht="12.75">
      <c r="A88" s="412"/>
      <c r="B88" s="412"/>
      <c r="C88" s="412"/>
      <c r="D88" s="388"/>
      <c r="E88" s="373"/>
      <c r="F88" s="373"/>
      <c r="G88" s="388"/>
      <c r="H88" s="373"/>
      <c r="I88" s="373"/>
      <c r="L88" s="388"/>
      <c r="M88" s="373"/>
      <c r="N88" s="373"/>
    </row>
    <row r="89" spans="1:14" ht="12.75">
      <c r="A89" s="412"/>
      <c r="B89" s="412"/>
      <c r="C89" s="412"/>
      <c r="D89" s="388"/>
      <c r="E89" s="373"/>
      <c r="F89" s="373"/>
      <c r="G89" s="388"/>
      <c r="H89" s="373"/>
      <c r="I89" s="373"/>
      <c r="L89" s="388"/>
      <c r="M89" s="373"/>
      <c r="N89" s="373"/>
    </row>
    <row r="90" spans="1:14" ht="12.75">
      <c r="A90" s="412"/>
      <c r="B90" s="412"/>
      <c r="C90" s="412"/>
      <c r="D90" s="388"/>
      <c r="E90" s="373"/>
      <c r="F90" s="373"/>
      <c r="G90" s="388"/>
      <c r="H90" s="373"/>
      <c r="I90" s="373"/>
      <c r="L90" s="388"/>
      <c r="M90" s="373"/>
      <c r="N90" s="373"/>
    </row>
  </sheetData>
  <sheetProtection password="C3AC" sheet="1" objects="1" scenarios="1"/>
  <mergeCells count="72">
    <mergeCell ref="E45:F45"/>
    <mergeCell ref="G41:H41"/>
    <mergeCell ref="B3:L4"/>
    <mergeCell ref="G8:G10"/>
    <mergeCell ref="J6:L6"/>
    <mergeCell ref="G6:I7"/>
    <mergeCell ref="J7:J10"/>
    <mergeCell ref="K9:K10"/>
    <mergeCell ref="H8:H10"/>
    <mergeCell ref="I8:I10"/>
    <mergeCell ref="L9:L10"/>
    <mergeCell ref="L7:L8"/>
    <mergeCell ref="K7:K8"/>
    <mergeCell ref="B5:C5"/>
    <mergeCell ref="B23:C23"/>
    <mergeCell ref="D6:F7"/>
    <mergeCell ref="A46:D47"/>
    <mergeCell ref="G40:H40"/>
    <mergeCell ref="A41:D41"/>
    <mergeCell ref="E46:F46"/>
    <mergeCell ref="E43:F43"/>
    <mergeCell ref="E47:F47"/>
    <mergeCell ref="G45:H45"/>
    <mergeCell ref="G47:H47"/>
    <mergeCell ref="G44:H44"/>
    <mergeCell ref="G46:H46"/>
    <mergeCell ref="G43:H43"/>
    <mergeCell ref="G42:H42"/>
    <mergeCell ref="A44:D45"/>
    <mergeCell ref="A42:D43"/>
    <mergeCell ref="E42:F42"/>
    <mergeCell ref="E44:F44"/>
    <mergeCell ref="D8:D10"/>
    <mergeCell ref="F8:F10"/>
    <mergeCell ref="B24:C24"/>
    <mergeCell ref="B25:C25"/>
    <mergeCell ref="B26:C26"/>
    <mergeCell ref="E8:E10"/>
    <mergeCell ref="B6:C10"/>
    <mergeCell ref="M47:N47"/>
    <mergeCell ref="I41:J41"/>
    <mergeCell ref="I40:J40"/>
    <mergeCell ref="M40:N40"/>
    <mergeCell ref="I43:J43"/>
    <mergeCell ref="K44:L44"/>
    <mergeCell ref="K45:L45"/>
    <mergeCell ref="K46:L46"/>
    <mergeCell ref="K47:L47"/>
    <mergeCell ref="K40:L40"/>
    <mergeCell ref="K41:L41"/>
    <mergeCell ref="K42:L42"/>
    <mergeCell ref="K43:L43"/>
    <mergeCell ref="M42:N42"/>
    <mergeCell ref="I45:J45"/>
    <mergeCell ref="I47:J47"/>
    <mergeCell ref="I44:J44"/>
    <mergeCell ref="I46:J46"/>
    <mergeCell ref="M46:N46"/>
    <mergeCell ref="M44:N44"/>
    <mergeCell ref="M43:N43"/>
    <mergeCell ref="M45:N45"/>
    <mergeCell ref="B27:E28"/>
    <mergeCell ref="B29:C29"/>
    <mergeCell ref="B30:C30"/>
    <mergeCell ref="M41:N41"/>
    <mergeCell ref="I42:J42"/>
    <mergeCell ref="A40:D40"/>
    <mergeCell ref="E40:F40"/>
    <mergeCell ref="E41:F41"/>
    <mergeCell ref="B38:N39"/>
    <mergeCell ref="B37:C37"/>
    <mergeCell ref="B36:C36"/>
  </mergeCells>
  <dataValidations count="1" disablePrompts="1">
    <dataValidation type="list" allowBlank="1" showInputMessage="1" showErrorMessage="1" sqref="AN47">
      <formula1>Local</formula1>
    </dataValidation>
  </dataValidations>
  <printOptions/>
  <pageMargins left="0.7" right="0.7" top="0.75" bottom="0.75" header="0.3" footer="0.3"/>
  <pageSetup fitToHeight="0" fitToWidth="1" horizontalDpi="600" verticalDpi="600" orientation="landscape" scale="67"/>
  <headerFooter>
    <oddFooter>&amp;C&amp;G&amp;R&amp;P</oddFooter>
  </headerFooter>
  <rowBreaks count="1" manualBreakCount="1">
    <brk id="26" max="16383" man="1"/>
  </rowBreaks>
  <ignoredErrors>
    <ignoredError sqref="A40 E40 G40 I40 K40 M40 B5 D5:G5 J5:L5" numberStoredAsText="1"/>
  </ignoredErrors>
  <legacyDrawingHF r:id="rId1"/>
</worksheet>
</file>

<file path=xl/worksheets/sheet5.xml><?xml version="1.0" encoding="utf-8"?>
<worksheet xmlns="http://schemas.openxmlformats.org/spreadsheetml/2006/main" xmlns:r="http://schemas.openxmlformats.org/officeDocument/2006/relationships">
  <sheetPr codeName="Sheet11"/>
  <dimension ref="B1:AE87"/>
  <sheetViews>
    <sheetView zoomScale="70" zoomScaleNormal="70" workbookViewId="0" topLeftCell="A1"/>
  </sheetViews>
  <sheetFormatPr defaultColWidth="9.140625" defaultRowHeight="12.75"/>
  <cols>
    <col min="1" max="5" width="13.7109375" style="0" customWidth="1"/>
    <col min="6" max="6" width="14.421875" style="0" customWidth="1"/>
    <col min="7" max="12" width="13.7109375" style="0" customWidth="1"/>
    <col min="13" max="13" width="14.57421875" style="0" customWidth="1"/>
    <col min="14" max="33" width="13.7109375" style="0" customWidth="1"/>
  </cols>
  <sheetData>
    <row r="1" spans="2:25" ht="12.75">
      <c r="B1" s="53" t="s">
        <v>306</v>
      </c>
      <c r="Y1" s="53" t="s">
        <v>329</v>
      </c>
    </row>
    <row r="2" ht="13.5" thickBot="1"/>
    <row r="3" spans="2:31" ht="13.5" thickTop="1">
      <c r="B3" s="671" t="s">
        <v>375</v>
      </c>
      <c r="C3" s="671"/>
      <c r="D3" s="671"/>
      <c r="E3" s="671"/>
      <c r="F3" s="671"/>
      <c r="I3" s="671" t="s">
        <v>378</v>
      </c>
      <c r="J3" s="671"/>
      <c r="K3" s="671"/>
      <c r="L3" s="671"/>
      <c r="M3" s="671"/>
      <c r="P3" s="671" t="s">
        <v>381</v>
      </c>
      <c r="Q3" s="671"/>
      <c r="R3" s="671"/>
      <c r="S3" s="671"/>
      <c r="T3" s="671"/>
      <c r="U3" s="671"/>
      <c r="V3" s="671"/>
      <c r="Y3" s="715" t="s">
        <v>387</v>
      </c>
      <c r="Z3" s="713"/>
      <c r="AA3" s="713"/>
      <c r="AB3" s="713"/>
      <c r="AC3" s="713"/>
      <c r="AD3" s="679"/>
      <c r="AE3" s="679"/>
    </row>
    <row r="4" spans="2:31" ht="13.5" thickBot="1">
      <c r="B4" s="672"/>
      <c r="C4" s="672"/>
      <c r="D4" s="672"/>
      <c r="E4" s="672"/>
      <c r="F4" s="672"/>
      <c r="I4" s="672"/>
      <c r="J4" s="672"/>
      <c r="K4" s="672"/>
      <c r="L4" s="672"/>
      <c r="M4" s="672"/>
      <c r="P4" s="672"/>
      <c r="Q4" s="672"/>
      <c r="R4" s="672"/>
      <c r="S4" s="672"/>
      <c r="T4" s="672"/>
      <c r="U4" s="672"/>
      <c r="V4" s="672"/>
      <c r="Y4" s="714"/>
      <c r="Z4" s="714"/>
      <c r="AA4" s="714"/>
      <c r="AB4" s="714"/>
      <c r="AC4" s="714"/>
      <c r="AD4" s="680"/>
      <c r="AE4" s="680"/>
    </row>
    <row r="5" spans="2:31" ht="12.75">
      <c r="B5" s="673" t="s">
        <v>308</v>
      </c>
      <c r="C5" s="87" t="s">
        <v>311</v>
      </c>
      <c r="D5" s="87"/>
      <c r="E5" s="87"/>
      <c r="F5" s="676" t="s">
        <v>174</v>
      </c>
      <c r="I5" s="673" t="s">
        <v>308</v>
      </c>
      <c r="J5" s="87" t="s">
        <v>313</v>
      </c>
      <c r="K5" s="87"/>
      <c r="L5" s="87"/>
      <c r="M5" s="676" t="s">
        <v>174</v>
      </c>
      <c r="P5" s="673" t="s">
        <v>308</v>
      </c>
      <c r="Q5" s="87" t="s">
        <v>317</v>
      </c>
      <c r="R5" s="87"/>
      <c r="S5" s="87"/>
      <c r="T5" s="87"/>
      <c r="U5" s="87"/>
      <c r="V5" s="676" t="s">
        <v>174</v>
      </c>
      <c r="Y5" s="716" t="s">
        <v>327</v>
      </c>
      <c r="Z5" s="719" t="s">
        <v>330</v>
      </c>
      <c r="AA5" s="720"/>
      <c r="AB5" s="724" t="s">
        <v>340</v>
      </c>
      <c r="AC5" s="725"/>
      <c r="AD5" s="725"/>
      <c r="AE5" s="725"/>
    </row>
    <row r="6" spans="2:31" ht="14.25">
      <c r="B6" s="674"/>
      <c r="C6" s="89" t="s">
        <v>178</v>
      </c>
      <c r="D6" s="88" t="s">
        <v>309</v>
      </c>
      <c r="E6" s="88" t="s">
        <v>310</v>
      </c>
      <c r="F6" s="677"/>
      <c r="I6" s="674"/>
      <c r="J6" s="89" t="s">
        <v>178</v>
      </c>
      <c r="K6" s="88" t="s">
        <v>309</v>
      </c>
      <c r="L6" s="88" t="s">
        <v>310</v>
      </c>
      <c r="M6" s="677"/>
      <c r="P6" s="674"/>
      <c r="Q6" s="89" t="s">
        <v>178</v>
      </c>
      <c r="R6" s="88" t="s">
        <v>318</v>
      </c>
      <c r="S6" s="88" t="s">
        <v>319</v>
      </c>
      <c r="T6" s="88" t="s">
        <v>321</v>
      </c>
      <c r="U6" s="88" t="s">
        <v>323</v>
      </c>
      <c r="V6" s="677"/>
      <c r="Y6" s="717"/>
      <c r="Z6" s="721"/>
      <c r="AA6" s="720"/>
      <c r="AB6" s="726"/>
      <c r="AC6" s="727"/>
      <c r="AD6" s="727"/>
      <c r="AE6" s="727"/>
    </row>
    <row r="7" spans="2:31" ht="12.75">
      <c r="B7" s="675"/>
      <c r="C7" s="90" t="s">
        <v>176</v>
      </c>
      <c r="D7" s="54" t="s">
        <v>177</v>
      </c>
      <c r="E7" s="54" t="s">
        <v>307</v>
      </c>
      <c r="F7" s="678"/>
      <c r="I7" s="675"/>
      <c r="J7" s="90" t="s">
        <v>176</v>
      </c>
      <c r="K7" s="54" t="s">
        <v>177</v>
      </c>
      <c r="L7" s="54" t="s">
        <v>307</v>
      </c>
      <c r="M7" s="678"/>
      <c r="P7" s="675"/>
      <c r="Q7" s="90" t="s">
        <v>176</v>
      </c>
      <c r="R7" s="54" t="s">
        <v>177</v>
      </c>
      <c r="S7" s="54" t="s">
        <v>307</v>
      </c>
      <c r="T7" s="54" t="s">
        <v>320</v>
      </c>
      <c r="U7" s="54" t="s">
        <v>322</v>
      </c>
      <c r="V7" s="678"/>
      <c r="Y7" s="717"/>
      <c r="Z7" s="721"/>
      <c r="AA7" s="720"/>
      <c r="AB7" s="728" t="s">
        <v>337</v>
      </c>
      <c r="AC7" s="728" t="s">
        <v>336</v>
      </c>
      <c r="AD7" s="728" t="s">
        <v>338</v>
      </c>
      <c r="AE7" s="730" t="s">
        <v>339</v>
      </c>
    </row>
    <row r="8" spans="2:31" ht="12.75">
      <c r="B8" s="642" t="s">
        <v>180</v>
      </c>
      <c r="C8" s="643"/>
      <c r="D8" s="643"/>
      <c r="E8" s="643"/>
      <c r="F8" s="643"/>
      <c r="I8" s="642" t="s">
        <v>180</v>
      </c>
      <c r="J8" s="643"/>
      <c r="K8" s="643"/>
      <c r="L8" s="643"/>
      <c r="M8" s="643"/>
      <c r="P8" s="642" t="s">
        <v>180</v>
      </c>
      <c r="Q8" s="643"/>
      <c r="R8" s="643"/>
      <c r="S8" s="643"/>
      <c r="T8" s="643"/>
      <c r="U8" s="643"/>
      <c r="V8" s="643"/>
      <c r="Y8" s="718"/>
      <c r="Z8" s="722"/>
      <c r="AA8" s="723"/>
      <c r="AB8" s="729"/>
      <c r="AC8" s="729"/>
      <c r="AD8" s="729"/>
      <c r="AE8" s="731"/>
    </row>
    <row r="9" spans="2:31" ht="14.25">
      <c r="B9" s="64" t="s">
        <v>69</v>
      </c>
      <c r="C9" s="37">
        <v>-13.36</v>
      </c>
      <c r="D9" s="37">
        <v>1.11</v>
      </c>
      <c r="E9" s="37">
        <v>0.41</v>
      </c>
      <c r="F9" s="49">
        <v>0.8</v>
      </c>
      <c r="I9" s="64" t="s">
        <v>69</v>
      </c>
      <c r="J9" s="37">
        <v>-6.81</v>
      </c>
      <c r="K9" s="37">
        <v>0.16</v>
      </c>
      <c r="L9" s="37">
        <v>0.51</v>
      </c>
      <c r="M9" s="49">
        <v>1.14</v>
      </c>
      <c r="P9" s="64" t="s">
        <v>312</v>
      </c>
      <c r="Q9" s="37">
        <v>-6.6</v>
      </c>
      <c r="R9" s="37">
        <v>0.05</v>
      </c>
      <c r="S9" s="37">
        <v>0.24</v>
      </c>
      <c r="T9" s="37">
        <v>0.41</v>
      </c>
      <c r="U9" s="37">
        <v>0.09</v>
      </c>
      <c r="V9" s="49">
        <v>0.52</v>
      </c>
      <c r="Y9" s="105" t="s">
        <v>69</v>
      </c>
      <c r="Z9" s="703" t="s">
        <v>331</v>
      </c>
      <c r="AA9" s="704"/>
      <c r="AB9" s="37">
        <v>0.67</v>
      </c>
      <c r="AC9" s="49">
        <v>0.45</v>
      </c>
      <c r="AD9" s="110" t="s">
        <v>14</v>
      </c>
      <c r="AE9" s="110" t="s">
        <v>14</v>
      </c>
    </row>
    <row r="10" spans="2:31" ht="13.5" thickBot="1">
      <c r="B10" s="64" t="s">
        <v>312</v>
      </c>
      <c r="C10" s="37">
        <v>-12.13</v>
      </c>
      <c r="D10" s="37">
        <v>1.11</v>
      </c>
      <c r="E10" s="37">
        <v>0.26</v>
      </c>
      <c r="F10" s="49">
        <v>0.33</v>
      </c>
      <c r="I10" s="64" t="s">
        <v>312</v>
      </c>
      <c r="J10" s="37">
        <v>-9.02</v>
      </c>
      <c r="K10" s="37">
        <v>0.42</v>
      </c>
      <c r="L10" s="37">
        <v>0.4</v>
      </c>
      <c r="M10" s="49">
        <v>0.36</v>
      </c>
      <c r="P10" s="67" t="s">
        <v>71</v>
      </c>
      <c r="Q10" s="10">
        <v>-9.53</v>
      </c>
      <c r="R10" s="10">
        <v>0.4</v>
      </c>
      <c r="S10" s="10">
        <v>0.26</v>
      </c>
      <c r="T10" s="10">
        <v>0.45</v>
      </c>
      <c r="U10" s="10">
        <v>0.04</v>
      </c>
      <c r="V10" s="59">
        <v>0.24</v>
      </c>
      <c r="Y10" s="105" t="s">
        <v>312</v>
      </c>
      <c r="Z10" s="705" t="s">
        <v>332</v>
      </c>
      <c r="AA10" s="706"/>
      <c r="AB10" s="37">
        <v>0.93</v>
      </c>
      <c r="AC10" s="49">
        <v>0.86</v>
      </c>
      <c r="AD10" s="8">
        <v>0.8</v>
      </c>
      <c r="AE10" s="478" t="s">
        <v>14</v>
      </c>
    </row>
    <row r="11" spans="2:31" ht="14.25">
      <c r="B11" s="91" t="s">
        <v>70</v>
      </c>
      <c r="C11" s="37">
        <v>-8.9</v>
      </c>
      <c r="D11" s="37">
        <v>0.82</v>
      </c>
      <c r="E11" s="37">
        <v>0.25</v>
      </c>
      <c r="F11" s="49">
        <v>0.4</v>
      </c>
      <c r="I11" s="91" t="s">
        <v>70</v>
      </c>
      <c r="J11" s="37">
        <v>-5.33</v>
      </c>
      <c r="K11" s="37">
        <v>0.33</v>
      </c>
      <c r="L11" s="37">
        <v>0.12</v>
      </c>
      <c r="M11" s="49">
        <v>0.65</v>
      </c>
      <c r="Y11" s="111" t="s">
        <v>70</v>
      </c>
      <c r="Z11" s="703" t="s">
        <v>333</v>
      </c>
      <c r="AA11" s="704"/>
      <c r="AB11" s="37">
        <v>0.73</v>
      </c>
      <c r="AC11" s="49">
        <v>0.53</v>
      </c>
      <c r="AD11" s="110" t="s">
        <v>14</v>
      </c>
      <c r="AE11" s="110" t="s">
        <v>14</v>
      </c>
    </row>
    <row r="12" spans="2:31" ht="13.5" thickBot="1">
      <c r="B12" s="64" t="s">
        <v>71</v>
      </c>
      <c r="C12" s="37">
        <v>-10.99</v>
      </c>
      <c r="D12" s="37">
        <v>1.07</v>
      </c>
      <c r="E12" s="37">
        <v>0.23</v>
      </c>
      <c r="F12" s="49">
        <v>0.39</v>
      </c>
      <c r="I12" s="64" t="s">
        <v>71</v>
      </c>
      <c r="J12" s="37">
        <v>-10.21</v>
      </c>
      <c r="K12" s="37">
        <v>0.68</v>
      </c>
      <c r="L12" s="37">
        <v>0.27</v>
      </c>
      <c r="M12" s="49">
        <v>0.36</v>
      </c>
      <c r="Y12" s="112" t="s">
        <v>71</v>
      </c>
      <c r="Z12" s="707" t="s">
        <v>332</v>
      </c>
      <c r="AA12" s="708"/>
      <c r="AB12" s="10">
        <v>0.9</v>
      </c>
      <c r="AC12" s="59">
        <v>0.81</v>
      </c>
      <c r="AD12" s="104">
        <v>0.73</v>
      </c>
      <c r="AE12" s="103">
        <v>0.66</v>
      </c>
    </row>
    <row r="13" spans="2:31" ht="12.75">
      <c r="B13" s="644" t="s">
        <v>181</v>
      </c>
      <c r="C13" s="645"/>
      <c r="D13" s="645"/>
      <c r="E13" s="645"/>
      <c r="F13" s="646"/>
      <c r="I13" s="644" t="s">
        <v>181</v>
      </c>
      <c r="J13" s="645"/>
      <c r="K13" s="645"/>
      <c r="L13" s="645"/>
      <c r="M13" s="646"/>
      <c r="Y13" s="709" t="s">
        <v>334</v>
      </c>
      <c r="Z13" s="710"/>
      <c r="AA13" s="710"/>
      <c r="AB13" s="710"/>
      <c r="AC13" s="710"/>
      <c r="AD13" s="710"/>
      <c r="AE13" s="710"/>
    </row>
    <row r="14" spans="2:31" ht="12.75">
      <c r="B14" s="64" t="s">
        <v>69</v>
      </c>
      <c r="C14" s="37">
        <v>-14.01</v>
      </c>
      <c r="D14" s="37">
        <v>1.16</v>
      </c>
      <c r="E14" s="37">
        <v>0.3</v>
      </c>
      <c r="F14" s="49">
        <v>0.69</v>
      </c>
      <c r="I14" s="64" t="s">
        <v>69</v>
      </c>
      <c r="J14" s="106" t="s">
        <v>14</v>
      </c>
      <c r="K14" s="106" t="s">
        <v>14</v>
      </c>
      <c r="L14" s="106" t="s">
        <v>14</v>
      </c>
      <c r="M14" s="107" t="s">
        <v>14</v>
      </c>
      <c r="Y14" s="711" t="s">
        <v>335</v>
      </c>
      <c r="Z14" s="712"/>
      <c r="AA14" s="712"/>
      <c r="AB14" s="712"/>
      <c r="AC14" s="712"/>
      <c r="AD14" s="712"/>
      <c r="AE14" s="712"/>
    </row>
    <row r="15" spans="2:13" ht="12.75">
      <c r="B15" s="64" t="s">
        <v>312</v>
      </c>
      <c r="C15" s="37">
        <v>-11.58</v>
      </c>
      <c r="D15" s="37">
        <v>1.02</v>
      </c>
      <c r="E15" s="37">
        <v>0.17</v>
      </c>
      <c r="F15" s="49">
        <v>0.3</v>
      </c>
      <c r="I15" s="64" t="s">
        <v>312</v>
      </c>
      <c r="J15" s="37">
        <v>-9.75</v>
      </c>
      <c r="K15" s="37">
        <v>0.27</v>
      </c>
      <c r="L15" s="37">
        <v>0.51</v>
      </c>
      <c r="M15" s="49">
        <v>0.24</v>
      </c>
    </row>
    <row r="16" spans="2:13" ht="12.75">
      <c r="B16" s="91" t="s">
        <v>70</v>
      </c>
      <c r="C16" s="37">
        <v>-11.13</v>
      </c>
      <c r="D16" s="37">
        <v>0.93</v>
      </c>
      <c r="E16" s="37">
        <v>0.28</v>
      </c>
      <c r="F16" s="49">
        <v>0.48</v>
      </c>
      <c r="I16" s="91" t="s">
        <v>70</v>
      </c>
      <c r="J16" s="106" t="s">
        <v>14</v>
      </c>
      <c r="K16" s="106" t="s">
        <v>14</v>
      </c>
      <c r="L16" s="106" t="s">
        <v>14</v>
      </c>
      <c r="M16" s="107" t="s">
        <v>14</v>
      </c>
    </row>
    <row r="17" spans="2:13" ht="13.5" thickBot="1">
      <c r="B17" s="64" t="s">
        <v>71</v>
      </c>
      <c r="C17" s="37">
        <v>-13.14</v>
      </c>
      <c r="D17" s="37">
        <v>1.18</v>
      </c>
      <c r="E17" s="37">
        <v>0.22</v>
      </c>
      <c r="F17" s="49">
        <v>0.33</v>
      </c>
      <c r="I17" s="64" t="s">
        <v>71</v>
      </c>
      <c r="J17" s="37">
        <v>-9.25</v>
      </c>
      <c r="K17" s="37">
        <v>0.43</v>
      </c>
      <c r="L17" s="37">
        <v>0.29</v>
      </c>
      <c r="M17" s="49">
        <v>0.09</v>
      </c>
    </row>
    <row r="18" spans="2:31" ht="13.5" thickTop="1">
      <c r="B18" s="644" t="s">
        <v>182</v>
      </c>
      <c r="C18" s="645"/>
      <c r="D18" s="645"/>
      <c r="E18" s="645"/>
      <c r="F18" s="646"/>
      <c r="I18" s="644" t="s">
        <v>182</v>
      </c>
      <c r="J18" s="645"/>
      <c r="K18" s="645"/>
      <c r="L18" s="645"/>
      <c r="M18" s="646"/>
      <c r="Y18" s="715" t="s">
        <v>388</v>
      </c>
      <c r="Z18" s="713"/>
      <c r="AA18" s="713"/>
      <c r="AB18" s="713"/>
      <c r="AC18" s="713"/>
      <c r="AD18" s="679"/>
      <c r="AE18" s="679"/>
    </row>
    <row r="19" spans="2:31" ht="13.5" thickBot="1">
      <c r="B19" s="64" t="s">
        <v>69</v>
      </c>
      <c r="C19" s="37">
        <v>-15.38</v>
      </c>
      <c r="D19" s="37">
        <v>1.2</v>
      </c>
      <c r="E19" s="37">
        <v>0.51</v>
      </c>
      <c r="F19" s="49">
        <v>0.77</v>
      </c>
      <c r="I19" s="64" t="s">
        <v>69</v>
      </c>
      <c r="J19" s="37">
        <v>-8.36</v>
      </c>
      <c r="K19" s="37">
        <v>0.25</v>
      </c>
      <c r="L19" s="37">
        <v>0.55</v>
      </c>
      <c r="M19" s="49">
        <v>1.29</v>
      </c>
      <c r="Y19" s="714"/>
      <c r="Z19" s="714"/>
      <c r="AA19" s="714"/>
      <c r="AB19" s="714"/>
      <c r="AC19" s="714"/>
      <c r="AD19" s="680"/>
      <c r="AE19" s="680"/>
    </row>
    <row r="20" spans="2:31" ht="12.75">
      <c r="B20" s="64" t="s">
        <v>312</v>
      </c>
      <c r="C20" s="37">
        <v>-13.24</v>
      </c>
      <c r="D20" s="37">
        <v>1.14</v>
      </c>
      <c r="E20" s="37">
        <v>0.3</v>
      </c>
      <c r="F20" s="49">
        <v>0.36</v>
      </c>
      <c r="I20" s="64" t="s">
        <v>312</v>
      </c>
      <c r="J20" s="37">
        <v>-9.08</v>
      </c>
      <c r="K20" s="37">
        <v>0.45</v>
      </c>
      <c r="L20" s="37">
        <v>0.33</v>
      </c>
      <c r="M20" s="49">
        <v>0.53</v>
      </c>
      <c r="Y20" s="716" t="s">
        <v>327</v>
      </c>
      <c r="Z20" s="719" t="s">
        <v>330</v>
      </c>
      <c r="AA20" s="720"/>
      <c r="AB20" s="724" t="s">
        <v>341</v>
      </c>
      <c r="AC20" s="725"/>
      <c r="AD20" s="725"/>
      <c r="AE20" s="725"/>
    </row>
    <row r="21" spans="2:31" ht="12.75">
      <c r="B21" s="91" t="s">
        <v>70</v>
      </c>
      <c r="C21" s="37">
        <v>-8.74</v>
      </c>
      <c r="D21" s="37">
        <v>0.77</v>
      </c>
      <c r="E21" s="37">
        <v>0.23</v>
      </c>
      <c r="F21" s="49">
        <v>0.4</v>
      </c>
      <c r="I21" s="91" t="s">
        <v>70</v>
      </c>
      <c r="J21" s="37">
        <v>-7.04</v>
      </c>
      <c r="K21" s="37">
        <v>0.36</v>
      </c>
      <c r="L21" s="37">
        <v>0.25</v>
      </c>
      <c r="M21" s="49">
        <v>0.54</v>
      </c>
      <c r="Y21" s="717"/>
      <c r="Z21" s="721"/>
      <c r="AA21" s="720"/>
      <c r="AB21" s="726"/>
      <c r="AC21" s="727"/>
      <c r="AD21" s="727"/>
      <c r="AE21" s="727"/>
    </row>
    <row r="22" spans="2:31" ht="13.5" thickBot="1">
      <c r="B22" s="67" t="s">
        <v>71</v>
      </c>
      <c r="C22" s="10">
        <v>-11.02</v>
      </c>
      <c r="D22" s="10">
        <v>1.02</v>
      </c>
      <c r="E22" s="10">
        <v>0.24</v>
      </c>
      <c r="F22" s="59">
        <v>0.44</v>
      </c>
      <c r="I22" s="67" t="s">
        <v>71</v>
      </c>
      <c r="J22" s="10">
        <v>-11.34</v>
      </c>
      <c r="K22" s="10">
        <v>0.78</v>
      </c>
      <c r="L22" s="10">
        <v>0.25</v>
      </c>
      <c r="M22" s="59">
        <v>0.44</v>
      </c>
      <c r="Y22" s="717"/>
      <c r="Z22" s="721"/>
      <c r="AA22" s="720"/>
      <c r="AB22" s="728" t="s">
        <v>337</v>
      </c>
      <c r="AC22" s="728" t="s">
        <v>336</v>
      </c>
      <c r="AD22" s="728" t="s">
        <v>338</v>
      </c>
      <c r="AE22" s="730" t="s">
        <v>339</v>
      </c>
    </row>
    <row r="23" spans="2:31" ht="12.75">
      <c r="B23" s="14"/>
      <c r="C23" s="14"/>
      <c r="D23" s="14"/>
      <c r="E23" s="14"/>
      <c r="F23" s="14"/>
      <c r="G23" s="14"/>
      <c r="I23" s="108" t="s">
        <v>314</v>
      </c>
      <c r="Y23" s="718"/>
      <c r="Z23" s="722"/>
      <c r="AA23" s="723"/>
      <c r="AB23" s="729"/>
      <c r="AC23" s="729"/>
      <c r="AD23" s="729"/>
      <c r="AE23" s="731"/>
    </row>
    <row r="24" spans="2:31" ht="14.25">
      <c r="B24" s="28"/>
      <c r="C24" s="19"/>
      <c r="D24" s="19"/>
      <c r="E24" s="19"/>
      <c r="F24" s="19"/>
      <c r="G24" s="14"/>
      <c r="I24" s="651" t="s">
        <v>315</v>
      </c>
      <c r="J24" s="652"/>
      <c r="K24" s="652"/>
      <c r="L24" s="652"/>
      <c r="M24" s="652"/>
      <c r="Y24" s="105" t="s">
        <v>69</v>
      </c>
      <c r="Z24" s="703" t="s">
        <v>331</v>
      </c>
      <c r="AA24" s="704"/>
      <c r="AB24" s="37">
        <v>0.86</v>
      </c>
      <c r="AC24" s="49">
        <v>0.74</v>
      </c>
      <c r="AD24" s="109" t="s">
        <v>14</v>
      </c>
      <c r="AE24" s="110" t="s">
        <v>14</v>
      </c>
    </row>
    <row r="25" spans="2:31" ht="13.5" thickBot="1">
      <c r="B25" s="14"/>
      <c r="C25" s="14"/>
      <c r="D25" s="14"/>
      <c r="E25" s="14"/>
      <c r="F25" s="14"/>
      <c r="G25" s="14"/>
      <c r="I25" s="649" t="s">
        <v>316</v>
      </c>
      <c r="J25" s="650"/>
      <c r="K25" s="650"/>
      <c r="L25" s="650"/>
      <c r="M25" s="650"/>
      <c r="Y25" s="105" t="s">
        <v>312</v>
      </c>
      <c r="Z25" s="705" t="s">
        <v>332</v>
      </c>
      <c r="AA25" s="706"/>
      <c r="AB25" s="37">
        <v>0.96</v>
      </c>
      <c r="AC25" s="49">
        <v>0.92</v>
      </c>
      <c r="AD25" s="109" t="s">
        <v>14</v>
      </c>
      <c r="AE25" s="110" t="s">
        <v>14</v>
      </c>
    </row>
    <row r="26" spans="25:31" ht="14.25">
      <c r="Y26" s="111" t="s">
        <v>70</v>
      </c>
      <c r="Z26" s="703" t="s">
        <v>333</v>
      </c>
      <c r="AA26" s="704"/>
      <c r="AB26" s="37">
        <v>0.86</v>
      </c>
      <c r="AC26" s="49">
        <v>0.74</v>
      </c>
      <c r="AD26" s="109" t="s">
        <v>14</v>
      </c>
      <c r="AE26" s="110" t="s">
        <v>14</v>
      </c>
    </row>
    <row r="27" spans="25:31" ht="13.5" thickBot="1">
      <c r="Y27" s="112" t="s">
        <v>71</v>
      </c>
      <c r="Z27" s="707" t="s">
        <v>332</v>
      </c>
      <c r="AA27" s="708"/>
      <c r="AB27" s="10">
        <v>0.96</v>
      </c>
      <c r="AC27" s="59">
        <v>0.92</v>
      </c>
      <c r="AD27" s="104">
        <v>0.88</v>
      </c>
      <c r="AE27" s="103">
        <v>0.85</v>
      </c>
    </row>
    <row r="28" spans="25:31" ht="12.75">
      <c r="Y28" s="709" t="s">
        <v>342</v>
      </c>
      <c r="Z28" s="710"/>
      <c r="AA28" s="710"/>
      <c r="AB28" s="710"/>
      <c r="AC28" s="710"/>
      <c r="AD28" s="710"/>
      <c r="AE28" s="710"/>
    </row>
    <row r="29" spans="2:31" ht="12.75">
      <c r="B29" s="53" t="s">
        <v>325</v>
      </c>
      <c r="Y29" s="711" t="s">
        <v>335</v>
      </c>
      <c r="Z29" s="712"/>
      <c r="AA29" s="712"/>
      <c r="AB29" s="712"/>
      <c r="AC29" s="712"/>
      <c r="AD29" s="712"/>
      <c r="AE29" s="712"/>
    </row>
    <row r="30" spans="12:13" ht="13.5" thickBot="1">
      <c r="L30" s="14"/>
      <c r="M30" s="14"/>
    </row>
    <row r="31" spans="2:13" ht="13.5" thickTop="1">
      <c r="B31" s="671" t="s">
        <v>377</v>
      </c>
      <c r="C31" s="679"/>
      <c r="D31" s="679"/>
      <c r="E31" s="679"/>
      <c r="F31" s="679"/>
      <c r="G31" s="679"/>
      <c r="H31" s="679"/>
      <c r="I31" s="679"/>
      <c r="J31" s="679"/>
      <c r="K31" s="679"/>
      <c r="L31" s="98"/>
      <c r="M31" s="11"/>
    </row>
    <row r="32" spans="2:13" ht="13.5" thickBot="1">
      <c r="B32" s="680"/>
      <c r="C32" s="680"/>
      <c r="D32" s="680"/>
      <c r="E32" s="680"/>
      <c r="F32" s="680"/>
      <c r="G32" s="680"/>
      <c r="H32" s="680"/>
      <c r="I32" s="680"/>
      <c r="J32" s="680"/>
      <c r="K32" s="680"/>
      <c r="L32" s="98"/>
      <c r="M32" s="11"/>
    </row>
    <row r="33" spans="2:13" ht="12.75">
      <c r="B33" s="683" t="s">
        <v>66</v>
      </c>
      <c r="C33" s="685" t="s">
        <v>65</v>
      </c>
      <c r="D33" s="687" t="s">
        <v>324</v>
      </c>
      <c r="E33" s="688"/>
      <c r="F33" s="688"/>
      <c r="G33" s="688"/>
      <c r="H33" s="688"/>
      <c r="I33" s="688"/>
      <c r="J33" s="688"/>
      <c r="K33" s="688"/>
      <c r="L33" s="15"/>
      <c r="M33" s="15"/>
    </row>
    <row r="34" spans="2:13" ht="12" customHeight="1">
      <c r="B34" s="684"/>
      <c r="C34" s="686"/>
      <c r="D34" s="668" t="s">
        <v>44</v>
      </c>
      <c r="E34" s="643"/>
      <c r="F34" s="643"/>
      <c r="G34" s="643"/>
      <c r="H34" s="643"/>
      <c r="I34" s="643"/>
      <c r="J34" s="643"/>
      <c r="K34" s="643"/>
      <c r="L34" s="15"/>
      <c r="M34" s="15"/>
    </row>
    <row r="35" spans="2:13" ht="12.75">
      <c r="B35" s="655" t="s">
        <v>46</v>
      </c>
      <c r="C35" s="656"/>
      <c r="D35" s="659" t="s">
        <v>69</v>
      </c>
      <c r="E35" s="660"/>
      <c r="F35" s="661" t="s">
        <v>312</v>
      </c>
      <c r="G35" s="662"/>
      <c r="H35" s="661" t="s">
        <v>70</v>
      </c>
      <c r="I35" s="662"/>
      <c r="J35" s="661" t="s">
        <v>71</v>
      </c>
      <c r="K35" s="668"/>
      <c r="L35" s="653"/>
      <c r="M35" s="653"/>
    </row>
    <row r="36" spans="2:13" ht="12.75">
      <c r="B36" s="657"/>
      <c r="C36" s="658"/>
      <c r="D36" s="65" t="s">
        <v>187</v>
      </c>
      <c r="E36" s="57" t="s">
        <v>91</v>
      </c>
      <c r="F36" s="65" t="s">
        <v>187</v>
      </c>
      <c r="G36" s="57" t="s">
        <v>91</v>
      </c>
      <c r="H36" s="65" t="s">
        <v>187</v>
      </c>
      <c r="I36" s="57" t="s">
        <v>91</v>
      </c>
      <c r="J36" s="65" t="s">
        <v>187</v>
      </c>
      <c r="K36" s="94" t="s">
        <v>91</v>
      </c>
      <c r="L36" s="82"/>
      <c r="M36" s="82"/>
    </row>
    <row r="37" spans="2:13" ht="12.75">
      <c r="B37" s="654" t="s">
        <v>37</v>
      </c>
      <c r="C37" s="648"/>
      <c r="D37" s="62">
        <v>0.421</v>
      </c>
      <c r="E37" s="62">
        <v>0.44</v>
      </c>
      <c r="F37" s="62">
        <v>0.549</v>
      </c>
      <c r="G37" s="62">
        <v>0.546</v>
      </c>
      <c r="H37" s="62">
        <v>0.338</v>
      </c>
      <c r="I37" s="62">
        <v>0.374</v>
      </c>
      <c r="J37" s="62">
        <v>0.45</v>
      </c>
      <c r="K37" s="63">
        <v>0.483</v>
      </c>
      <c r="L37" s="100"/>
      <c r="M37" s="100"/>
    </row>
    <row r="38" spans="2:13" ht="12.75">
      <c r="B38" s="647" t="s">
        <v>36</v>
      </c>
      <c r="C38" s="648"/>
      <c r="D38" s="36">
        <v>0.045</v>
      </c>
      <c r="E38" s="36">
        <v>0.023</v>
      </c>
      <c r="F38" s="36">
        <v>0.038</v>
      </c>
      <c r="G38" s="36">
        <v>0.02</v>
      </c>
      <c r="H38" s="36">
        <v>0.041</v>
      </c>
      <c r="I38" s="36">
        <v>0.03</v>
      </c>
      <c r="J38" s="36">
        <v>0.049</v>
      </c>
      <c r="K38" s="38">
        <v>0.03</v>
      </c>
      <c r="L38" s="23"/>
      <c r="M38" s="23"/>
    </row>
    <row r="39" spans="2:13" ht="12.75">
      <c r="B39" s="647" t="s">
        <v>35</v>
      </c>
      <c r="C39" s="648"/>
      <c r="D39" s="36">
        <v>0.343</v>
      </c>
      <c r="E39" s="36">
        <v>0.262</v>
      </c>
      <c r="F39" s="36">
        <v>0.28</v>
      </c>
      <c r="G39" s="36">
        <v>0.204</v>
      </c>
      <c r="H39" s="36">
        <v>0.44</v>
      </c>
      <c r="I39" s="36">
        <v>0.335</v>
      </c>
      <c r="J39" s="36">
        <v>0.347</v>
      </c>
      <c r="K39" s="38">
        <v>0.244</v>
      </c>
      <c r="L39" s="23"/>
      <c r="M39" s="23"/>
    </row>
    <row r="40" spans="2:13" ht="12.75">
      <c r="B40" s="647" t="s">
        <v>89</v>
      </c>
      <c r="C40" s="648"/>
      <c r="D40" s="36">
        <v>0.126</v>
      </c>
      <c r="E40" s="36">
        <v>0.04</v>
      </c>
      <c r="F40" s="36">
        <v>0.076</v>
      </c>
      <c r="G40" s="36">
        <v>0.032</v>
      </c>
      <c r="H40" s="36">
        <v>0.121</v>
      </c>
      <c r="I40" s="36">
        <v>0.044</v>
      </c>
      <c r="J40" s="36">
        <v>0.099</v>
      </c>
      <c r="K40" s="38">
        <v>0.032</v>
      </c>
      <c r="L40" s="23"/>
      <c r="M40" s="23"/>
    </row>
    <row r="41" spans="2:13" ht="12.75">
      <c r="B41" s="647" t="s">
        <v>189</v>
      </c>
      <c r="C41" s="663"/>
      <c r="D41" s="36">
        <v>0.065</v>
      </c>
      <c r="E41" s="36">
        <v>0.235</v>
      </c>
      <c r="F41" s="36">
        <v>0.057</v>
      </c>
      <c r="G41" s="36">
        <v>0.198</v>
      </c>
      <c r="H41" s="36">
        <v>0.06</v>
      </c>
      <c r="I41" s="36">
        <v>0.217</v>
      </c>
      <c r="J41" s="36">
        <v>0.055</v>
      </c>
      <c r="K41" s="38">
        <v>0.211</v>
      </c>
      <c r="L41" s="23"/>
      <c r="M41" s="23"/>
    </row>
    <row r="42" spans="2:13" ht="12.75">
      <c r="B42" s="669" t="s">
        <v>188</v>
      </c>
      <c r="C42" s="670"/>
      <c r="D42" s="670"/>
      <c r="E42" s="670"/>
      <c r="F42" s="670"/>
      <c r="G42" s="670"/>
      <c r="H42" s="670"/>
      <c r="I42" s="670"/>
      <c r="J42" s="670"/>
      <c r="K42" s="670"/>
      <c r="L42" s="23"/>
      <c r="M42" s="23"/>
    </row>
    <row r="43" spans="2:13" ht="12.75">
      <c r="B43" s="655" t="s">
        <v>46</v>
      </c>
      <c r="C43" s="656"/>
      <c r="D43" s="661" t="s">
        <v>45</v>
      </c>
      <c r="E43" s="645"/>
      <c r="F43" s="645"/>
      <c r="G43" s="645"/>
      <c r="H43" s="645"/>
      <c r="I43" s="645"/>
      <c r="J43" s="645"/>
      <c r="K43" s="646"/>
      <c r="L43" s="6"/>
      <c r="M43" s="6"/>
    </row>
    <row r="44" spans="2:13" ht="12.75">
      <c r="B44" s="664"/>
      <c r="C44" s="665"/>
      <c r="D44" s="659" t="s">
        <v>69</v>
      </c>
      <c r="E44" s="660"/>
      <c r="F44" s="661" t="s">
        <v>312</v>
      </c>
      <c r="G44" s="662"/>
      <c r="H44" s="661" t="s">
        <v>70</v>
      </c>
      <c r="I44" s="662"/>
      <c r="J44" s="661" t="s">
        <v>71</v>
      </c>
      <c r="K44" s="668"/>
      <c r="L44" s="15"/>
      <c r="M44" s="15"/>
    </row>
    <row r="45" spans="2:13" ht="12.75">
      <c r="B45" s="666"/>
      <c r="C45" s="667"/>
      <c r="D45" s="65" t="s">
        <v>187</v>
      </c>
      <c r="E45" s="57" t="s">
        <v>91</v>
      </c>
      <c r="F45" s="65" t="s">
        <v>187</v>
      </c>
      <c r="G45" s="57" t="s">
        <v>91</v>
      </c>
      <c r="H45" s="65" t="s">
        <v>187</v>
      </c>
      <c r="I45" s="57" t="s">
        <v>91</v>
      </c>
      <c r="J45" s="65" t="s">
        <v>187</v>
      </c>
      <c r="K45" s="94" t="s">
        <v>91</v>
      </c>
      <c r="L45" s="653"/>
      <c r="M45" s="653"/>
    </row>
    <row r="46" spans="2:13" ht="12.75">
      <c r="B46" s="654" t="s">
        <v>37</v>
      </c>
      <c r="C46" s="648"/>
      <c r="D46" s="420">
        <v>0.5</v>
      </c>
      <c r="E46" s="420">
        <v>0.1</v>
      </c>
      <c r="F46" s="420"/>
      <c r="G46" s="420"/>
      <c r="H46" s="420">
        <v>0.75</v>
      </c>
      <c r="I46" s="420"/>
      <c r="J46" s="420"/>
      <c r="K46" s="421"/>
      <c r="L46" s="82"/>
      <c r="M46" s="82"/>
    </row>
    <row r="47" spans="2:11" ht="12.75">
      <c r="B47" s="647" t="s">
        <v>36</v>
      </c>
      <c r="C47" s="648"/>
      <c r="D47" s="420">
        <v>0.51</v>
      </c>
      <c r="E47" s="420">
        <v>0.11</v>
      </c>
      <c r="F47" s="420"/>
      <c r="G47" s="420"/>
      <c r="H47" s="420">
        <v>0.65</v>
      </c>
      <c r="I47" s="420"/>
      <c r="J47" s="420"/>
      <c r="K47" s="421"/>
    </row>
    <row r="48" spans="2:11" ht="12.75">
      <c r="B48" s="647" t="s">
        <v>35</v>
      </c>
      <c r="C48" s="648"/>
      <c r="D48" s="420">
        <v>0.52</v>
      </c>
      <c r="E48" s="420">
        <v>0.12</v>
      </c>
      <c r="F48" s="420"/>
      <c r="G48" s="420"/>
      <c r="H48" s="420">
        <v>0.55</v>
      </c>
      <c r="I48" s="420"/>
      <c r="J48" s="420"/>
      <c r="K48" s="421"/>
    </row>
    <row r="49" spans="2:11" ht="12.75">
      <c r="B49" s="647" t="s">
        <v>89</v>
      </c>
      <c r="C49" s="648"/>
      <c r="D49" s="422">
        <v>0.53</v>
      </c>
      <c r="E49" s="422">
        <v>0.13</v>
      </c>
      <c r="F49" s="422"/>
      <c r="G49" s="422"/>
      <c r="H49" s="422">
        <v>0.45</v>
      </c>
      <c r="I49" s="422"/>
      <c r="J49" s="422"/>
      <c r="K49" s="423"/>
    </row>
    <row r="50" spans="2:13" ht="13.5" thickBot="1">
      <c r="B50" s="681" t="s">
        <v>189</v>
      </c>
      <c r="C50" s="682"/>
      <c r="D50" s="424">
        <v>0.55</v>
      </c>
      <c r="E50" s="424">
        <v>0.15</v>
      </c>
      <c r="F50" s="424"/>
      <c r="G50" s="424"/>
      <c r="H50" s="424">
        <v>0.25</v>
      </c>
      <c r="I50" s="424"/>
      <c r="J50" s="424"/>
      <c r="K50" s="425"/>
      <c r="L50" s="34"/>
      <c r="M50" s="34"/>
    </row>
    <row r="51" spans="2:13" ht="12.75">
      <c r="B51" s="115" t="s">
        <v>376</v>
      </c>
      <c r="L51" s="34"/>
      <c r="M51" s="34"/>
    </row>
    <row r="52" spans="12:13" ht="12.75">
      <c r="L52" s="34"/>
      <c r="M52" s="34"/>
    </row>
    <row r="53" ht="13.5" thickBot="1"/>
    <row r="54" spans="2:11" ht="13.5" thickTop="1">
      <c r="B54" s="671" t="s">
        <v>380</v>
      </c>
      <c r="C54" s="679"/>
      <c r="D54" s="679"/>
      <c r="E54" s="679"/>
      <c r="F54" s="679"/>
      <c r="G54" s="679"/>
      <c r="H54" s="679"/>
      <c r="I54" s="679"/>
      <c r="J54" s="679"/>
      <c r="K54" s="679"/>
    </row>
    <row r="55" spans="2:11" ht="13.5" thickBot="1">
      <c r="B55" s="680"/>
      <c r="C55" s="680"/>
      <c r="D55" s="680"/>
      <c r="E55" s="680"/>
      <c r="F55" s="680"/>
      <c r="G55" s="680"/>
      <c r="H55" s="680"/>
      <c r="I55" s="680"/>
      <c r="J55" s="680"/>
      <c r="K55" s="680"/>
    </row>
    <row r="56" spans="2:11" ht="12.75">
      <c r="B56" s="683" t="s">
        <v>66</v>
      </c>
      <c r="C56" s="685" t="s">
        <v>65</v>
      </c>
      <c r="D56" s="687" t="s">
        <v>324</v>
      </c>
      <c r="E56" s="688"/>
      <c r="F56" s="688"/>
      <c r="G56" s="688"/>
      <c r="H56" s="688"/>
      <c r="I56" s="688"/>
      <c r="J56" s="688"/>
      <c r="K56" s="688"/>
    </row>
    <row r="57" spans="2:11" ht="12.75">
      <c r="B57" s="684"/>
      <c r="C57" s="686"/>
      <c r="D57" s="668" t="s">
        <v>44</v>
      </c>
      <c r="E57" s="643"/>
      <c r="F57" s="643"/>
      <c r="G57" s="643"/>
      <c r="H57" s="643"/>
      <c r="I57" s="643"/>
      <c r="J57" s="643"/>
      <c r="K57" s="643"/>
    </row>
    <row r="58" spans="2:11" ht="12.75">
      <c r="B58" s="655" t="s">
        <v>46</v>
      </c>
      <c r="C58" s="656"/>
      <c r="D58" s="659" t="s">
        <v>69</v>
      </c>
      <c r="E58" s="660"/>
      <c r="F58" s="661" t="s">
        <v>312</v>
      </c>
      <c r="G58" s="662"/>
      <c r="H58" s="661" t="s">
        <v>70</v>
      </c>
      <c r="I58" s="662"/>
      <c r="J58" s="661" t="s">
        <v>71</v>
      </c>
      <c r="K58" s="668"/>
    </row>
    <row r="59" spans="2:11" ht="12.75">
      <c r="B59" s="657"/>
      <c r="C59" s="658"/>
      <c r="D59" s="65" t="s">
        <v>187</v>
      </c>
      <c r="E59" s="57" t="s">
        <v>91</v>
      </c>
      <c r="F59" s="65" t="s">
        <v>187</v>
      </c>
      <c r="G59" s="57" t="s">
        <v>91</v>
      </c>
      <c r="H59" s="65" t="s">
        <v>187</v>
      </c>
      <c r="I59" s="57" t="s">
        <v>91</v>
      </c>
      <c r="J59" s="65" t="s">
        <v>187</v>
      </c>
      <c r="K59" s="94" t="s">
        <v>91</v>
      </c>
    </row>
    <row r="60" spans="2:11" ht="12.75">
      <c r="B60" s="654" t="s">
        <v>277</v>
      </c>
      <c r="C60" s="648"/>
      <c r="D60" s="62">
        <v>0.001</v>
      </c>
      <c r="E60" s="62">
        <v>0.003</v>
      </c>
      <c r="F60" s="62">
        <v>0.001</v>
      </c>
      <c r="G60" s="62">
        <v>0.001</v>
      </c>
      <c r="H60" s="62">
        <v>0.001</v>
      </c>
      <c r="I60" s="62">
        <v>0.001</v>
      </c>
      <c r="J60" s="62">
        <v>0.001</v>
      </c>
      <c r="K60" s="63">
        <v>0.001</v>
      </c>
    </row>
    <row r="61" spans="2:11" ht="12.75">
      <c r="B61" s="647" t="s">
        <v>192</v>
      </c>
      <c r="C61" s="648"/>
      <c r="D61" s="36">
        <v>0.003</v>
      </c>
      <c r="E61" s="36">
        <v>0.018</v>
      </c>
      <c r="F61" s="36">
        <v>0.001</v>
      </c>
      <c r="G61" s="36">
        <v>0.003</v>
      </c>
      <c r="H61" s="36">
        <v>0.001</v>
      </c>
      <c r="I61" s="36">
        <v>0.026</v>
      </c>
      <c r="J61" s="36">
        <v>0.002</v>
      </c>
      <c r="K61" s="38">
        <v>0.002</v>
      </c>
    </row>
    <row r="62" spans="2:11" ht="12.75">
      <c r="B62" s="647" t="s">
        <v>193</v>
      </c>
      <c r="C62" s="648"/>
      <c r="D62" s="36">
        <v>0.762</v>
      </c>
      <c r="E62" s="36">
        <v>0.8341</v>
      </c>
      <c r="F62" s="36">
        <v>0.653</v>
      </c>
      <c r="G62" s="36">
        <v>0.895</v>
      </c>
      <c r="H62" s="36">
        <v>0.679</v>
      </c>
      <c r="I62" s="36">
        <v>0.847</v>
      </c>
      <c r="J62" s="36">
        <v>0.744</v>
      </c>
      <c r="K62" s="38">
        <v>0.87</v>
      </c>
    </row>
    <row r="63" spans="2:11" ht="12.75">
      <c r="B63" s="647" t="s">
        <v>194</v>
      </c>
      <c r="C63" s="648"/>
      <c r="D63" s="36">
        <v>0.09</v>
      </c>
      <c r="E63" s="36">
        <v>0.092</v>
      </c>
      <c r="F63" s="36">
        <v>0.091</v>
      </c>
      <c r="G63" s="36">
        <v>0.069</v>
      </c>
      <c r="H63" s="36">
        <v>0.089</v>
      </c>
      <c r="I63" s="36">
        <v>0.07</v>
      </c>
      <c r="J63" s="36">
        <v>0.072</v>
      </c>
      <c r="K63" s="38">
        <v>0.07</v>
      </c>
    </row>
    <row r="64" spans="2:11" ht="12.75">
      <c r="B64" s="647" t="s">
        <v>195</v>
      </c>
      <c r="C64" s="648"/>
      <c r="D64" s="36">
        <v>0.039</v>
      </c>
      <c r="E64" s="36">
        <v>0.023</v>
      </c>
      <c r="F64" s="36">
        <v>0.045</v>
      </c>
      <c r="G64" s="36">
        <v>0.018</v>
      </c>
      <c r="H64" s="36">
        <v>0.051</v>
      </c>
      <c r="I64" s="36">
        <v>0.007</v>
      </c>
      <c r="J64" s="36">
        <v>0.04</v>
      </c>
      <c r="K64" s="38">
        <v>0.023</v>
      </c>
    </row>
    <row r="65" spans="2:11" ht="12.75">
      <c r="B65" s="647" t="s">
        <v>326</v>
      </c>
      <c r="C65" s="663"/>
      <c r="D65" s="36">
        <v>0.105</v>
      </c>
      <c r="E65" s="36">
        <v>0.03</v>
      </c>
      <c r="F65" s="36">
        <v>0.209</v>
      </c>
      <c r="G65" s="36">
        <v>0.014</v>
      </c>
      <c r="H65" s="36">
        <v>0.179</v>
      </c>
      <c r="I65" s="36">
        <v>0.049</v>
      </c>
      <c r="J65" s="36">
        <v>0.141</v>
      </c>
      <c r="K65" s="38">
        <v>0.034</v>
      </c>
    </row>
    <row r="66" spans="2:11" ht="12.75">
      <c r="B66" s="669" t="s">
        <v>379</v>
      </c>
      <c r="C66" s="670"/>
      <c r="D66" s="670"/>
      <c r="E66" s="670"/>
      <c r="F66" s="670"/>
      <c r="G66" s="670"/>
      <c r="H66" s="670"/>
      <c r="I66" s="670"/>
      <c r="J66" s="670"/>
      <c r="K66" s="670"/>
    </row>
    <row r="67" spans="2:11" ht="12.75">
      <c r="B67" s="655" t="s">
        <v>46</v>
      </c>
      <c r="C67" s="656"/>
      <c r="D67" s="661" t="s">
        <v>45</v>
      </c>
      <c r="E67" s="645"/>
      <c r="F67" s="645"/>
      <c r="G67" s="645"/>
      <c r="H67" s="645"/>
      <c r="I67" s="645"/>
      <c r="J67" s="645"/>
      <c r="K67" s="646"/>
    </row>
    <row r="68" spans="2:11" ht="12.75">
      <c r="B68" s="664"/>
      <c r="C68" s="665"/>
      <c r="D68" s="659" t="s">
        <v>69</v>
      </c>
      <c r="E68" s="660"/>
      <c r="F68" s="661" t="s">
        <v>312</v>
      </c>
      <c r="G68" s="662"/>
      <c r="H68" s="661" t="s">
        <v>70</v>
      </c>
      <c r="I68" s="662"/>
      <c r="J68" s="661" t="s">
        <v>71</v>
      </c>
      <c r="K68" s="668"/>
    </row>
    <row r="69" spans="2:11" ht="12.75">
      <c r="B69" s="666"/>
      <c r="C69" s="667"/>
      <c r="D69" s="65" t="s">
        <v>187</v>
      </c>
      <c r="E69" s="57" t="s">
        <v>91</v>
      </c>
      <c r="F69" s="65" t="s">
        <v>187</v>
      </c>
      <c r="G69" s="57" t="s">
        <v>91</v>
      </c>
      <c r="H69" s="65" t="s">
        <v>187</v>
      </c>
      <c r="I69" s="57" t="s">
        <v>91</v>
      </c>
      <c r="J69" s="65" t="s">
        <v>187</v>
      </c>
      <c r="K69" s="94" t="s">
        <v>91</v>
      </c>
    </row>
    <row r="70" spans="2:11" ht="12.75">
      <c r="B70" s="654" t="s">
        <v>277</v>
      </c>
      <c r="C70" s="648"/>
      <c r="D70" s="420">
        <v>0.5</v>
      </c>
      <c r="E70" s="420">
        <v>0.1</v>
      </c>
      <c r="F70" s="420"/>
      <c r="G70" s="420"/>
      <c r="H70" s="420">
        <v>0.75</v>
      </c>
      <c r="I70" s="420"/>
      <c r="J70" s="420"/>
      <c r="K70" s="421"/>
    </row>
    <row r="71" spans="2:11" ht="12.75">
      <c r="B71" s="647" t="s">
        <v>192</v>
      </c>
      <c r="C71" s="648"/>
      <c r="D71" s="420">
        <v>0.51</v>
      </c>
      <c r="E71" s="420">
        <v>0.11</v>
      </c>
      <c r="F71" s="420"/>
      <c r="G71" s="420"/>
      <c r="H71" s="420">
        <v>0.65</v>
      </c>
      <c r="I71" s="420"/>
      <c r="J71" s="420"/>
      <c r="K71" s="421"/>
    </row>
    <row r="72" spans="2:11" ht="12.75">
      <c r="B72" s="647" t="s">
        <v>193</v>
      </c>
      <c r="C72" s="648"/>
      <c r="D72" s="420">
        <v>0.52</v>
      </c>
      <c r="E72" s="420">
        <v>0.12</v>
      </c>
      <c r="F72" s="420"/>
      <c r="G72" s="420"/>
      <c r="H72" s="420">
        <v>0.55</v>
      </c>
      <c r="I72" s="420"/>
      <c r="J72" s="420"/>
      <c r="K72" s="421"/>
    </row>
    <row r="73" spans="2:11" ht="12.75">
      <c r="B73" s="647" t="s">
        <v>194</v>
      </c>
      <c r="C73" s="648"/>
      <c r="D73" s="422">
        <v>0.53</v>
      </c>
      <c r="E73" s="422">
        <v>0.13</v>
      </c>
      <c r="F73" s="422"/>
      <c r="G73" s="422"/>
      <c r="H73" s="422">
        <v>0.45</v>
      </c>
      <c r="I73" s="422"/>
      <c r="J73" s="422"/>
      <c r="K73" s="423"/>
    </row>
    <row r="74" spans="2:11" ht="12.75">
      <c r="B74" s="647" t="s">
        <v>195</v>
      </c>
      <c r="C74" s="648"/>
      <c r="D74" s="422">
        <v>0.54</v>
      </c>
      <c r="E74" s="422">
        <v>0.14</v>
      </c>
      <c r="F74" s="422"/>
      <c r="G74" s="422"/>
      <c r="H74" s="422">
        <v>0.35</v>
      </c>
      <c r="I74" s="422"/>
      <c r="J74" s="422"/>
      <c r="K74" s="423"/>
    </row>
    <row r="75" spans="2:11" ht="13.5" thickBot="1">
      <c r="B75" s="647" t="s">
        <v>326</v>
      </c>
      <c r="C75" s="663"/>
      <c r="D75" s="424">
        <v>0.55</v>
      </c>
      <c r="E75" s="424">
        <v>0.15</v>
      </c>
      <c r="F75" s="424"/>
      <c r="G75" s="424"/>
      <c r="H75" s="424">
        <v>0.25</v>
      </c>
      <c r="I75" s="424"/>
      <c r="J75" s="424"/>
      <c r="K75" s="425"/>
    </row>
    <row r="78" spans="8:12" ht="13.5" thickBot="1">
      <c r="H78" s="14"/>
      <c r="I78" s="14"/>
      <c r="J78" s="14"/>
      <c r="K78" s="14"/>
      <c r="L78" s="14"/>
    </row>
    <row r="79" spans="2:12" ht="13.5" thickTop="1">
      <c r="B79" s="671" t="s">
        <v>389</v>
      </c>
      <c r="C79" s="713"/>
      <c r="D79" s="713"/>
      <c r="E79" s="713"/>
      <c r="F79" s="713"/>
      <c r="G79" s="713"/>
      <c r="H79" s="71"/>
      <c r="I79" s="71"/>
      <c r="J79" s="71"/>
      <c r="K79" s="71"/>
      <c r="L79" s="14"/>
    </row>
    <row r="80" spans="2:12" ht="13.5" thickBot="1">
      <c r="B80" s="714"/>
      <c r="C80" s="714"/>
      <c r="D80" s="714"/>
      <c r="E80" s="714"/>
      <c r="F80" s="714"/>
      <c r="G80" s="714"/>
      <c r="H80" s="71"/>
      <c r="I80" s="71"/>
      <c r="J80" s="71"/>
      <c r="K80" s="71"/>
      <c r="L80" s="14"/>
    </row>
    <row r="81" spans="2:12" ht="14.25">
      <c r="B81" s="699" t="s">
        <v>66</v>
      </c>
      <c r="C81" s="700" t="s">
        <v>65</v>
      </c>
      <c r="D81" s="697" t="s">
        <v>328</v>
      </c>
      <c r="E81" s="697"/>
      <c r="F81" s="697"/>
      <c r="G81" s="698"/>
      <c r="H81" s="14"/>
      <c r="I81" s="14"/>
      <c r="J81" s="14"/>
      <c r="K81" s="14"/>
      <c r="L81" s="14"/>
    </row>
    <row r="82" spans="2:7" ht="12.75">
      <c r="B82" s="684"/>
      <c r="C82" s="686"/>
      <c r="D82" s="689" t="s">
        <v>44</v>
      </c>
      <c r="E82" s="689"/>
      <c r="F82" s="689" t="s">
        <v>45</v>
      </c>
      <c r="G82" s="690"/>
    </row>
    <row r="83" spans="2:7" ht="12.75">
      <c r="B83" s="701" t="s">
        <v>327</v>
      </c>
      <c r="C83" s="702"/>
      <c r="D83" s="689"/>
      <c r="E83" s="689"/>
      <c r="F83" s="691"/>
      <c r="G83" s="692"/>
    </row>
    <row r="84" spans="2:7" ht="12.75">
      <c r="B84" s="695" t="s">
        <v>69</v>
      </c>
      <c r="C84" s="696"/>
      <c r="D84" s="645">
        <v>0.238</v>
      </c>
      <c r="E84" s="645"/>
      <c r="F84" s="693">
        <v>0.3</v>
      </c>
      <c r="G84" s="694"/>
    </row>
    <row r="85" spans="2:7" ht="12.75">
      <c r="B85" s="695" t="s">
        <v>70</v>
      </c>
      <c r="C85" s="696"/>
      <c r="D85" s="645">
        <v>0.229</v>
      </c>
      <c r="E85" s="645"/>
      <c r="F85" s="693">
        <v>0.31</v>
      </c>
      <c r="G85" s="694"/>
    </row>
    <row r="86" spans="2:7" ht="12.75">
      <c r="B86" s="695" t="s">
        <v>312</v>
      </c>
      <c r="C86" s="696"/>
      <c r="D86" s="645">
        <v>0.235</v>
      </c>
      <c r="E86" s="645"/>
      <c r="F86" s="693">
        <v>0.32</v>
      </c>
      <c r="G86" s="694"/>
    </row>
    <row r="87" spans="2:7" ht="13.5" thickBot="1">
      <c r="B87" s="637" t="s">
        <v>71</v>
      </c>
      <c r="C87" s="638"/>
      <c r="D87" s="639">
        <v>0.235</v>
      </c>
      <c r="E87" s="639"/>
      <c r="F87" s="640">
        <v>0.33</v>
      </c>
      <c r="G87" s="641"/>
    </row>
  </sheetData>
  <sheetProtection password="C3AC" sheet="1" objects="1" scenarios="1"/>
  <mergeCells count="123">
    <mergeCell ref="Y3:AE4"/>
    <mergeCell ref="Y13:AE13"/>
    <mergeCell ref="Y14:AE14"/>
    <mergeCell ref="Y18:AE19"/>
    <mergeCell ref="Y20:Y23"/>
    <mergeCell ref="Z20:AA23"/>
    <mergeCell ref="AB20:AE21"/>
    <mergeCell ref="AB22:AB23"/>
    <mergeCell ref="AC22:AC23"/>
    <mergeCell ref="AD22:AD23"/>
    <mergeCell ref="Y5:Y8"/>
    <mergeCell ref="Z5:AA8"/>
    <mergeCell ref="AB7:AB8"/>
    <mergeCell ref="AC7:AC8"/>
    <mergeCell ref="AD7:AD8"/>
    <mergeCell ref="AE7:AE8"/>
    <mergeCell ref="AB5:AE6"/>
    <mergeCell ref="AE22:AE23"/>
    <mergeCell ref="Z24:AA24"/>
    <mergeCell ref="Z25:AA25"/>
    <mergeCell ref="Z26:AA26"/>
    <mergeCell ref="Z27:AA27"/>
    <mergeCell ref="Z9:AA9"/>
    <mergeCell ref="Z10:AA10"/>
    <mergeCell ref="Z11:AA11"/>
    <mergeCell ref="Z12:AA12"/>
    <mergeCell ref="B84:C84"/>
    <mergeCell ref="Y28:AE28"/>
    <mergeCell ref="Y29:AE29"/>
    <mergeCell ref="B70:C70"/>
    <mergeCell ref="B71:C71"/>
    <mergeCell ref="B72:C72"/>
    <mergeCell ref="B73:C73"/>
    <mergeCell ref="B75:C75"/>
    <mergeCell ref="B79:G80"/>
    <mergeCell ref="B74:C74"/>
    <mergeCell ref="B54:K55"/>
    <mergeCell ref="B67:C69"/>
    <mergeCell ref="D67:K67"/>
    <mergeCell ref="D68:E68"/>
    <mergeCell ref="F68:G68"/>
    <mergeCell ref="H68:I68"/>
    <mergeCell ref="D33:K33"/>
    <mergeCell ref="D34:K34"/>
    <mergeCell ref="D43:K43"/>
    <mergeCell ref="B42:K42"/>
    <mergeCell ref="B33:B34"/>
    <mergeCell ref="C33:C34"/>
    <mergeCell ref="D86:E86"/>
    <mergeCell ref="D82:E83"/>
    <mergeCell ref="F82:G83"/>
    <mergeCell ref="F84:G84"/>
    <mergeCell ref="F85:G85"/>
    <mergeCell ref="F86:G86"/>
    <mergeCell ref="B85:C85"/>
    <mergeCell ref="B86:C86"/>
    <mergeCell ref="D81:G81"/>
    <mergeCell ref="B81:B82"/>
    <mergeCell ref="C81:C82"/>
    <mergeCell ref="B83:C83"/>
    <mergeCell ref="D84:E84"/>
    <mergeCell ref="D85:E85"/>
    <mergeCell ref="H58:I58"/>
    <mergeCell ref="J58:K58"/>
    <mergeCell ref="B60:C60"/>
    <mergeCell ref="B47:C47"/>
    <mergeCell ref="D44:E44"/>
    <mergeCell ref="H44:I44"/>
    <mergeCell ref="J44:K44"/>
    <mergeCell ref="D57:K57"/>
    <mergeCell ref="B50:C50"/>
    <mergeCell ref="B56:B57"/>
    <mergeCell ref="C56:C57"/>
    <mergeCell ref="B46:C46"/>
    <mergeCell ref="D56:K56"/>
    <mergeCell ref="J68:K68"/>
    <mergeCell ref="B61:C61"/>
    <mergeCell ref="B62:C62"/>
    <mergeCell ref="B63:C63"/>
    <mergeCell ref="B65:C65"/>
    <mergeCell ref="B66:K66"/>
    <mergeCell ref="P3:V4"/>
    <mergeCell ref="P5:P7"/>
    <mergeCell ref="V5:V7"/>
    <mergeCell ref="P8:V8"/>
    <mergeCell ref="I3:M4"/>
    <mergeCell ref="I5:I7"/>
    <mergeCell ref="M5:M7"/>
    <mergeCell ref="B3:F4"/>
    <mergeCell ref="B5:B7"/>
    <mergeCell ref="F5:F7"/>
    <mergeCell ref="B8:F8"/>
    <mergeCell ref="B13:F13"/>
    <mergeCell ref="B18:F18"/>
    <mergeCell ref="B31:K32"/>
    <mergeCell ref="B64:C64"/>
    <mergeCell ref="B58:C59"/>
    <mergeCell ref="D58:E58"/>
    <mergeCell ref="F58:G58"/>
    <mergeCell ref="B87:C87"/>
    <mergeCell ref="D87:E87"/>
    <mergeCell ref="F87:G87"/>
    <mergeCell ref="I8:M8"/>
    <mergeCell ref="I13:M13"/>
    <mergeCell ref="I18:M18"/>
    <mergeCell ref="B49:C49"/>
    <mergeCell ref="I25:M25"/>
    <mergeCell ref="I24:M24"/>
    <mergeCell ref="L45:M45"/>
    <mergeCell ref="L35:M35"/>
    <mergeCell ref="B37:C37"/>
    <mergeCell ref="B38:C38"/>
    <mergeCell ref="B39:C39"/>
    <mergeCell ref="B40:C40"/>
    <mergeCell ref="B35:C36"/>
    <mergeCell ref="D35:E35"/>
    <mergeCell ref="F35:G35"/>
    <mergeCell ref="H35:I35"/>
    <mergeCell ref="B48:C48"/>
    <mergeCell ref="B41:C41"/>
    <mergeCell ref="B43:C45"/>
    <mergeCell ref="J35:K35"/>
    <mergeCell ref="F44:G44"/>
  </mergeCells>
  <dataValidations count="1">
    <dataValidation type="list" allowBlank="1" showInputMessage="1" showErrorMessage="1" sqref="C33 C81 C56">
      <formula1>Local</formula1>
    </dataValidation>
  </dataValidations>
  <printOptions/>
  <pageMargins left="0.7" right="0.7" top="0.75" bottom="0.75" header="0.3" footer="0.3"/>
  <pageSetup horizontalDpi="600" verticalDpi="600" orientation="landscape"/>
</worksheet>
</file>

<file path=xl/worksheets/sheet6.xml><?xml version="1.0" encoding="utf-8"?>
<worksheet xmlns="http://schemas.openxmlformats.org/spreadsheetml/2006/main" xmlns:r="http://schemas.openxmlformats.org/officeDocument/2006/relationships">
  <sheetPr codeName="Sheet13"/>
  <dimension ref="A1:AU128"/>
  <sheetViews>
    <sheetView zoomScale="80" zoomScaleNormal="80" workbookViewId="0" topLeftCell="A1"/>
  </sheetViews>
  <sheetFormatPr defaultColWidth="9.140625" defaultRowHeight="12.75"/>
  <cols>
    <col min="1" max="12" width="14.7109375" style="0" customWidth="1"/>
    <col min="13" max="13" width="13.7109375" style="0" customWidth="1"/>
    <col min="14" max="22" width="10.7109375" style="0" customWidth="1"/>
    <col min="23" max="35" width="12.7109375" style="0" customWidth="1"/>
    <col min="36" max="36" width="10.7109375" style="0" customWidth="1"/>
    <col min="37" max="42" width="12.7109375" style="0" customWidth="1"/>
    <col min="43" max="47" width="10.7109375" style="0" customWidth="1"/>
  </cols>
  <sheetData>
    <row r="1" spans="1:30" ht="13.5" thickBot="1">
      <c r="A1" s="53" t="s">
        <v>306</v>
      </c>
      <c r="V1" s="20"/>
      <c r="W1" s="53" t="s">
        <v>329</v>
      </c>
      <c r="AB1" s="20"/>
      <c r="AC1" s="20"/>
      <c r="AD1" s="20"/>
    </row>
    <row r="2" spans="1:47" ht="13.5" thickTop="1">
      <c r="A2" s="671" t="s">
        <v>367</v>
      </c>
      <c r="B2" s="671"/>
      <c r="C2" s="671"/>
      <c r="D2" s="671"/>
      <c r="E2" s="78"/>
      <c r="F2" s="78"/>
      <c r="G2" s="671" t="s">
        <v>370</v>
      </c>
      <c r="H2" s="671"/>
      <c r="I2" s="671"/>
      <c r="J2" s="671"/>
      <c r="K2" s="78"/>
      <c r="L2" s="78"/>
      <c r="M2" s="78"/>
      <c r="N2" s="671" t="s">
        <v>372</v>
      </c>
      <c r="O2" s="671"/>
      <c r="P2" s="671"/>
      <c r="Q2" s="671"/>
      <c r="R2" s="671"/>
      <c r="S2" s="671"/>
      <c r="T2" s="671"/>
      <c r="U2" s="78"/>
      <c r="V2" s="20"/>
      <c r="W2" s="715" t="s">
        <v>382</v>
      </c>
      <c r="X2" s="713"/>
      <c r="Y2" s="713"/>
      <c r="Z2" s="713"/>
      <c r="AA2" s="713"/>
      <c r="AB2" s="30"/>
      <c r="AC2" s="30"/>
      <c r="AD2" s="30"/>
      <c r="AP2" s="11"/>
      <c r="AQ2" s="20"/>
      <c r="AU2" s="11"/>
    </row>
    <row r="3" spans="1:47" ht="13.5" thickBot="1">
      <c r="A3" s="672"/>
      <c r="B3" s="672"/>
      <c r="C3" s="672"/>
      <c r="D3" s="672"/>
      <c r="E3" s="78"/>
      <c r="F3" s="78"/>
      <c r="G3" s="672"/>
      <c r="H3" s="672"/>
      <c r="I3" s="672"/>
      <c r="J3" s="672"/>
      <c r="K3" s="78"/>
      <c r="L3" s="78"/>
      <c r="M3" s="78"/>
      <c r="N3" s="672"/>
      <c r="O3" s="672"/>
      <c r="P3" s="672"/>
      <c r="Q3" s="672"/>
      <c r="R3" s="672"/>
      <c r="S3" s="672"/>
      <c r="T3" s="672"/>
      <c r="U3" s="78"/>
      <c r="V3" s="20"/>
      <c r="W3" s="714"/>
      <c r="X3" s="714"/>
      <c r="Y3" s="714"/>
      <c r="Z3" s="714"/>
      <c r="AA3" s="714"/>
      <c r="AB3" s="30"/>
      <c r="AC3" s="30"/>
      <c r="AD3" s="30"/>
      <c r="AP3" s="11"/>
      <c r="AQ3" s="20"/>
      <c r="AU3" s="11"/>
    </row>
    <row r="4" spans="1:47" ht="12.75">
      <c r="A4" s="673" t="s">
        <v>175</v>
      </c>
      <c r="B4" s="87" t="s">
        <v>173</v>
      </c>
      <c r="C4" s="87"/>
      <c r="D4" s="676" t="s">
        <v>174</v>
      </c>
      <c r="E4" s="85"/>
      <c r="F4" s="85"/>
      <c r="G4" s="673" t="s">
        <v>175</v>
      </c>
      <c r="H4" s="87" t="s">
        <v>191</v>
      </c>
      <c r="I4" s="87"/>
      <c r="J4" s="676" t="s">
        <v>174</v>
      </c>
      <c r="K4" s="85"/>
      <c r="L4" s="85"/>
      <c r="M4" s="85"/>
      <c r="N4" s="805" t="s">
        <v>237</v>
      </c>
      <c r="O4" s="806"/>
      <c r="P4" s="768" t="s">
        <v>246</v>
      </c>
      <c r="Q4" s="768"/>
      <c r="R4" s="768"/>
      <c r="S4" s="768"/>
      <c r="T4" s="751"/>
      <c r="U4" s="85"/>
      <c r="V4" s="20"/>
      <c r="W4" s="796" t="s">
        <v>140</v>
      </c>
      <c r="X4" s="793" t="s">
        <v>135</v>
      </c>
      <c r="Y4" s="794"/>
      <c r="Z4" s="794"/>
      <c r="AA4" s="795"/>
      <c r="AB4" s="43"/>
      <c r="AC4" s="43"/>
      <c r="AD4" s="43"/>
      <c r="AP4" s="11"/>
      <c r="AQ4" s="20"/>
      <c r="AU4" s="11"/>
    </row>
    <row r="5" spans="1:47" ht="12.75">
      <c r="A5" s="674"/>
      <c r="B5" s="89" t="s">
        <v>178</v>
      </c>
      <c r="C5" s="88" t="s">
        <v>179</v>
      </c>
      <c r="D5" s="677"/>
      <c r="E5" s="79"/>
      <c r="F5" s="79"/>
      <c r="G5" s="674"/>
      <c r="H5" s="89" t="s">
        <v>178</v>
      </c>
      <c r="I5" s="88" t="s">
        <v>179</v>
      </c>
      <c r="J5" s="677"/>
      <c r="K5" s="79"/>
      <c r="L5" s="79"/>
      <c r="M5" s="79"/>
      <c r="N5" s="807"/>
      <c r="O5" s="808"/>
      <c r="P5" s="97" t="s">
        <v>128</v>
      </c>
      <c r="Q5" s="97" t="s">
        <v>127</v>
      </c>
      <c r="R5" s="97" t="s">
        <v>98</v>
      </c>
      <c r="S5" s="97" t="s">
        <v>101</v>
      </c>
      <c r="T5" s="99" t="s">
        <v>141</v>
      </c>
      <c r="U5" s="79"/>
      <c r="V5" s="20"/>
      <c r="W5" s="797"/>
      <c r="X5" s="800" t="s">
        <v>136</v>
      </c>
      <c r="Y5" s="761"/>
      <c r="Z5" s="800" t="s">
        <v>139</v>
      </c>
      <c r="AA5" s="803"/>
      <c r="AB5" s="43"/>
      <c r="AC5" s="20"/>
      <c r="AD5" s="32"/>
      <c r="AP5" s="11"/>
      <c r="AQ5" s="20"/>
      <c r="AU5" s="11"/>
    </row>
    <row r="6" spans="1:47" ht="12.75">
      <c r="A6" s="675"/>
      <c r="B6" s="90" t="s">
        <v>176</v>
      </c>
      <c r="C6" s="54" t="s">
        <v>177</v>
      </c>
      <c r="D6" s="678"/>
      <c r="E6" s="79"/>
      <c r="F6" s="79"/>
      <c r="G6" s="675"/>
      <c r="H6" s="90" t="s">
        <v>176</v>
      </c>
      <c r="I6" s="54" t="s">
        <v>177</v>
      </c>
      <c r="J6" s="678"/>
      <c r="K6" s="79"/>
      <c r="L6" s="79"/>
      <c r="M6" s="79"/>
      <c r="N6" s="790" t="s">
        <v>238</v>
      </c>
      <c r="O6" s="791"/>
      <c r="P6" s="791"/>
      <c r="Q6" s="791"/>
      <c r="R6" s="791"/>
      <c r="S6" s="791"/>
      <c r="T6" s="792"/>
      <c r="U6" s="79"/>
      <c r="V6" s="20"/>
      <c r="W6" s="797"/>
      <c r="X6" s="762" t="s">
        <v>137</v>
      </c>
      <c r="Y6" s="798" t="s">
        <v>138</v>
      </c>
      <c r="Z6" s="762" t="s">
        <v>137</v>
      </c>
      <c r="AA6" s="801" t="s">
        <v>138</v>
      </c>
      <c r="AB6" s="29"/>
      <c r="AC6" s="29"/>
      <c r="AD6" s="29"/>
      <c r="AP6" s="11"/>
      <c r="AQ6" s="20"/>
      <c r="AU6" s="11"/>
    </row>
    <row r="7" spans="1:47" ht="12.75">
      <c r="A7" s="642" t="s">
        <v>180</v>
      </c>
      <c r="B7" s="643"/>
      <c r="C7" s="643"/>
      <c r="D7" s="643"/>
      <c r="E7" s="15"/>
      <c r="F7" s="15"/>
      <c r="G7" s="642" t="s">
        <v>180</v>
      </c>
      <c r="H7" s="643"/>
      <c r="I7" s="643"/>
      <c r="J7" s="643"/>
      <c r="K7" s="15"/>
      <c r="L7" s="15"/>
      <c r="M7" s="15"/>
      <c r="N7" s="732" t="s">
        <v>200</v>
      </c>
      <c r="O7" s="733"/>
      <c r="P7" s="36">
        <v>0.158</v>
      </c>
      <c r="Q7" s="36">
        <v>0.102</v>
      </c>
      <c r="R7" s="36">
        <v>0.182</v>
      </c>
      <c r="S7" s="36">
        <v>0.033</v>
      </c>
      <c r="T7" s="38">
        <v>0.165</v>
      </c>
      <c r="U7" s="15"/>
      <c r="V7" s="20"/>
      <c r="W7" s="797"/>
      <c r="X7" s="762"/>
      <c r="Y7" s="799"/>
      <c r="Z7" s="762"/>
      <c r="AA7" s="802"/>
      <c r="AB7" s="26"/>
      <c r="AC7" s="26"/>
      <c r="AD7" s="26"/>
      <c r="AP7" s="11"/>
      <c r="AQ7" s="20"/>
      <c r="AU7" s="11"/>
    </row>
    <row r="8" spans="1:47" ht="12.75">
      <c r="A8" s="64" t="s">
        <v>128</v>
      </c>
      <c r="B8" s="37">
        <v>-15.22</v>
      </c>
      <c r="C8" s="37">
        <v>1.68</v>
      </c>
      <c r="D8" s="49">
        <v>0.84</v>
      </c>
      <c r="E8" s="19"/>
      <c r="F8" s="19"/>
      <c r="G8" s="64" t="s">
        <v>128</v>
      </c>
      <c r="H8" s="37">
        <v>-5.47</v>
      </c>
      <c r="I8" s="37">
        <v>0.56</v>
      </c>
      <c r="J8" s="49">
        <v>0.81</v>
      </c>
      <c r="K8" s="19"/>
      <c r="L8" s="19"/>
      <c r="M8" s="19"/>
      <c r="N8" s="732" t="s">
        <v>201</v>
      </c>
      <c r="O8" s="733"/>
      <c r="P8" s="36">
        <v>0.05</v>
      </c>
      <c r="Q8" s="36">
        <v>0.032</v>
      </c>
      <c r="R8" s="36">
        <v>0.058</v>
      </c>
      <c r="S8" s="36">
        <v>0.011</v>
      </c>
      <c r="T8" s="38">
        <v>0.053</v>
      </c>
      <c r="U8" s="19"/>
      <c r="V8" s="20"/>
      <c r="W8" s="797"/>
      <c r="X8" s="763"/>
      <c r="Y8" s="799"/>
      <c r="Z8" s="763"/>
      <c r="AA8" s="802"/>
      <c r="AB8" s="46"/>
      <c r="AC8" s="23"/>
      <c r="AD8" s="23"/>
      <c r="AP8" s="11"/>
      <c r="AQ8" s="20"/>
      <c r="AU8" s="11"/>
    </row>
    <row r="9" spans="1:47" ht="12.75">
      <c r="A9" s="64" t="s">
        <v>127</v>
      </c>
      <c r="B9" s="37">
        <v>-12.4</v>
      </c>
      <c r="C9" s="37">
        <v>1.41</v>
      </c>
      <c r="D9" s="49">
        <v>0.66</v>
      </c>
      <c r="E9" s="19"/>
      <c r="F9" s="19"/>
      <c r="G9" s="64" t="s">
        <v>127</v>
      </c>
      <c r="H9" s="37">
        <v>-5.74</v>
      </c>
      <c r="I9" s="37">
        <v>0.54</v>
      </c>
      <c r="J9" s="49">
        <v>1.37</v>
      </c>
      <c r="K9" s="19"/>
      <c r="L9" s="19"/>
      <c r="M9" s="19"/>
      <c r="N9" s="732" t="s">
        <v>239</v>
      </c>
      <c r="O9" s="733"/>
      <c r="P9" s="36">
        <v>0.172</v>
      </c>
      <c r="Q9" s="36">
        <v>0.11</v>
      </c>
      <c r="R9" s="36">
        <v>0.198</v>
      </c>
      <c r="S9" s="36">
        <v>0.036</v>
      </c>
      <c r="T9" s="38">
        <v>0.181</v>
      </c>
      <c r="U9" s="19"/>
      <c r="V9" s="20"/>
      <c r="W9" s="64" t="s">
        <v>128</v>
      </c>
      <c r="X9" s="36">
        <v>1.465</v>
      </c>
      <c r="Y9" s="36">
        <v>2.074</v>
      </c>
      <c r="Z9" s="36">
        <v>3.428</v>
      </c>
      <c r="AA9" s="38">
        <v>4.853</v>
      </c>
      <c r="AB9" s="23"/>
      <c r="AC9" s="23"/>
      <c r="AD9" s="23"/>
      <c r="AP9" s="11"/>
      <c r="AQ9" s="20"/>
      <c r="AU9" s="11"/>
    </row>
    <row r="10" spans="1:47" ht="12.75">
      <c r="A10" s="64" t="s">
        <v>98</v>
      </c>
      <c r="B10" s="37">
        <v>-11.63</v>
      </c>
      <c r="C10" s="37">
        <v>1.33</v>
      </c>
      <c r="D10" s="49">
        <v>1.01</v>
      </c>
      <c r="E10" s="19"/>
      <c r="F10" s="19"/>
      <c r="G10" s="64" t="s">
        <v>98</v>
      </c>
      <c r="H10" s="37">
        <v>-7.99</v>
      </c>
      <c r="I10" s="37">
        <v>0.81</v>
      </c>
      <c r="J10" s="49">
        <v>0.91</v>
      </c>
      <c r="K10" s="19"/>
      <c r="L10" s="19"/>
      <c r="M10" s="19"/>
      <c r="N10" s="732" t="s">
        <v>240</v>
      </c>
      <c r="O10" s="733"/>
      <c r="P10" s="36">
        <v>0.023</v>
      </c>
      <c r="Q10" s="36">
        <v>0.015</v>
      </c>
      <c r="R10" s="36">
        <v>0.026</v>
      </c>
      <c r="S10" s="36">
        <v>0.005</v>
      </c>
      <c r="T10" s="38">
        <v>0.024</v>
      </c>
      <c r="U10" s="19"/>
      <c r="V10" s="20"/>
      <c r="W10" s="64" t="s">
        <v>127</v>
      </c>
      <c r="X10" s="36">
        <v>1.465</v>
      </c>
      <c r="Y10" s="36">
        <v>2.074</v>
      </c>
      <c r="Z10" s="36">
        <v>3.428</v>
      </c>
      <c r="AA10" s="38">
        <v>4.853</v>
      </c>
      <c r="AB10" s="23"/>
      <c r="AC10" s="23"/>
      <c r="AD10" s="23"/>
      <c r="AP10" s="11"/>
      <c r="AQ10" s="20"/>
      <c r="AU10" s="11"/>
    </row>
    <row r="11" spans="1:47" ht="12.75">
      <c r="A11" s="91" t="s">
        <v>101</v>
      </c>
      <c r="B11" s="37">
        <v>-12.34</v>
      </c>
      <c r="C11" s="37">
        <v>1.36</v>
      </c>
      <c r="D11" s="49">
        <v>1.32</v>
      </c>
      <c r="E11" s="19"/>
      <c r="F11" s="19"/>
      <c r="G11" s="91" t="s">
        <v>101</v>
      </c>
      <c r="H11" s="37">
        <v>-5.05</v>
      </c>
      <c r="I11" s="37">
        <v>0.47</v>
      </c>
      <c r="J11" s="49">
        <v>0.86</v>
      </c>
      <c r="K11" s="19"/>
      <c r="L11" s="19"/>
      <c r="M11" s="19"/>
      <c r="N11" s="732" t="s">
        <v>204</v>
      </c>
      <c r="O11" s="733"/>
      <c r="P11" s="36">
        <v>0.083</v>
      </c>
      <c r="Q11" s="36">
        <v>0.053</v>
      </c>
      <c r="R11" s="36">
        <v>0.096</v>
      </c>
      <c r="S11" s="36">
        <v>0.018</v>
      </c>
      <c r="T11" s="38">
        <v>0.087</v>
      </c>
      <c r="U11" s="19"/>
      <c r="V11" s="20"/>
      <c r="W11" s="64" t="s">
        <v>98</v>
      </c>
      <c r="X11" s="36">
        <v>1.1</v>
      </c>
      <c r="Y11" s="36">
        <v>1.709</v>
      </c>
      <c r="Z11" s="36">
        <v>2.574</v>
      </c>
      <c r="AA11" s="38">
        <v>3.999</v>
      </c>
      <c r="AB11" s="23"/>
      <c r="AC11" s="23"/>
      <c r="AD11" s="23"/>
      <c r="AP11" s="11"/>
      <c r="AQ11" s="20"/>
      <c r="AU11" s="11"/>
    </row>
    <row r="12" spans="1:47" ht="12.75">
      <c r="A12" s="64" t="s">
        <v>141</v>
      </c>
      <c r="B12" s="37">
        <v>-9.7</v>
      </c>
      <c r="C12" s="37">
        <v>1.17</v>
      </c>
      <c r="D12" s="49">
        <v>0.81</v>
      </c>
      <c r="E12" s="19"/>
      <c r="F12" s="19"/>
      <c r="G12" s="64" t="s">
        <v>141</v>
      </c>
      <c r="H12" s="37">
        <v>-4.82</v>
      </c>
      <c r="I12" s="37">
        <v>0.54</v>
      </c>
      <c r="J12" s="49">
        <v>0.52</v>
      </c>
      <c r="K12" s="19"/>
      <c r="L12" s="19"/>
      <c r="M12" s="19"/>
      <c r="N12" s="732" t="s">
        <v>205</v>
      </c>
      <c r="O12" s="733"/>
      <c r="P12" s="36">
        <v>0.016</v>
      </c>
      <c r="Q12" s="36">
        <v>0.01</v>
      </c>
      <c r="R12" s="36">
        <v>0.018</v>
      </c>
      <c r="S12" s="36">
        <v>0.003</v>
      </c>
      <c r="T12" s="38">
        <v>0.016</v>
      </c>
      <c r="U12" s="19"/>
      <c r="V12" s="20"/>
      <c r="W12" s="64" t="s">
        <v>101</v>
      </c>
      <c r="X12" s="36">
        <v>1.1</v>
      </c>
      <c r="Y12" s="36">
        <v>1.709</v>
      </c>
      <c r="Z12" s="36">
        <v>2.574</v>
      </c>
      <c r="AA12" s="38">
        <v>3.999</v>
      </c>
      <c r="AB12" s="23"/>
      <c r="AC12" s="23"/>
      <c r="AD12" s="23"/>
      <c r="AP12" s="11"/>
      <c r="AQ12" s="20"/>
      <c r="AU12" s="11"/>
    </row>
    <row r="13" spans="1:47" ht="13.5" thickBot="1">
      <c r="A13" s="644" t="s">
        <v>181</v>
      </c>
      <c r="B13" s="645"/>
      <c r="C13" s="645"/>
      <c r="D13" s="646"/>
      <c r="E13" s="15"/>
      <c r="F13" s="15"/>
      <c r="G13" s="644" t="s">
        <v>181</v>
      </c>
      <c r="H13" s="645"/>
      <c r="I13" s="645"/>
      <c r="J13" s="646"/>
      <c r="K13" s="15"/>
      <c r="L13" s="15"/>
      <c r="M13" s="15"/>
      <c r="N13" s="732" t="s">
        <v>90</v>
      </c>
      <c r="O13" s="733"/>
      <c r="P13" s="36">
        <v>0.025</v>
      </c>
      <c r="Q13" s="36">
        <v>0.016</v>
      </c>
      <c r="R13" s="36">
        <v>0.029</v>
      </c>
      <c r="S13" s="36">
        <v>0.005</v>
      </c>
      <c r="T13" s="38">
        <v>0.027</v>
      </c>
      <c r="U13" s="15"/>
      <c r="V13" s="20"/>
      <c r="W13" s="67" t="s">
        <v>141</v>
      </c>
      <c r="X13" s="40">
        <v>1.1</v>
      </c>
      <c r="Y13" s="40">
        <v>1.709</v>
      </c>
      <c r="Z13" s="40">
        <v>2.574</v>
      </c>
      <c r="AA13" s="60">
        <v>3.999</v>
      </c>
      <c r="AB13" s="23"/>
      <c r="AC13" s="23"/>
      <c r="AD13" s="23"/>
      <c r="AP13" s="11"/>
      <c r="AQ13" s="20"/>
      <c r="AU13" s="11"/>
    </row>
    <row r="14" spans="1:47" ht="12.75">
      <c r="A14" s="64" t="s">
        <v>128</v>
      </c>
      <c r="B14" s="37">
        <v>-16.22</v>
      </c>
      <c r="C14" s="37">
        <v>1.66</v>
      </c>
      <c r="D14" s="49">
        <v>0.65</v>
      </c>
      <c r="E14" s="19"/>
      <c r="F14" s="19"/>
      <c r="G14" s="64" t="s">
        <v>128</v>
      </c>
      <c r="H14" s="37">
        <v>-3.96</v>
      </c>
      <c r="I14" s="37">
        <v>0.23</v>
      </c>
      <c r="J14" s="49">
        <v>0.5</v>
      </c>
      <c r="K14" s="19"/>
      <c r="L14" s="19"/>
      <c r="M14" s="19"/>
      <c r="N14" s="790" t="s">
        <v>241</v>
      </c>
      <c r="O14" s="791"/>
      <c r="P14" s="791"/>
      <c r="Q14" s="791"/>
      <c r="R14" s="791"/>
      <c r="S14" s="791"/>
      <c r="T14" s="792"/>
      <c r="U14" s="19"/>
      <c r="V14" s="20"/>
      <c r="W14" s="69"/>
      <c r="X14" s="69"/>
      <c r="Y14" s="69"/>
      <c r="Z14" s="69"/>
      <c r="AA14" s="69"/>
      <c r="AB14" s="23"/>
      <c r="AC14" s="23"/>
      <c r="AD14" s="23"/>
      <c r="AP14" s="11"/>
      <c r="AQ14" s="20"/>
      <c r="AU14" s="11"/>
    </row>
    <row r="15" spans="1:47" ht="12.75">
      <c r="A15" s="64" t="s">
        <v>127</v>
      </c>
      <c r="B15" s="37">
        <v>-16.45</v>
      </c>
      <c r="C15" s="37">
        <v>1.69</v>
      </c>
      <c r="D15" s="49">
        <v>0.59</v>
      </c>
      <c r="E15" s="19"/>
      <c r="F15" s="19"/>
      <c r="G15" s="64" t="s">
        <v>127</v>
      </c>
      <c r="H15" s="37">
        <v>-6.37</v>
      </c>
      <c r="I15" s="37">
        <v>0.47</v>
      </c>
      <c r="J15" s="49">
        <v>1.06</v>
      </c>
      <c r="K15" s="19"/>
      <c r="L15" s="19"/>
      <c r="M15" s="19"/>
      <c r="N15" s="732" t="s">
        <v>242</v>
      </c>
      <c r="O15" s="733"/>
      <c r="P15" s="36">
        <v>1</v>
      </c>
      <c r="Q15" s="36">
        <v>1</v>
      </c>
      <c r="R15" s="36">
        <v>1.172</v>
      </c>
      <c r="S15" s="36">
        <v>1.106</v>
      </c>
      <c r="T15" s="38">
        <v>1.172</v>
      </c>
      <c r="U15" s="19"/>
      <c r="V15" s="20"/>
      <c r="W15" s="47"/>
      <c r="X15" s="31"/>
      <c r="Y15" s="31"/>
      <c r="Z15" s="31"/>
      <c r="AA15" s="31"/>
      <c r="AB15" s="31"/>
      <c r="AC15" s="31"/>
      <c r="AD15" s="31"/>
      <c r="AO15" s="12"/>
      <c r="AQ15" s="20"/>
      <c r="AU15" s="11"/>
    </row>
    <row r="16" spans="1:47" ht="12.75">
      <c r="A16" s="64" t="s">
        <v>98</v>
      </c>
      <c r="B16" s="37">
        <v>-12.08</v>
      </c>
      <c r="C16" s="37">
        <v>1.25</v>
      </c>
      <c r="D16" s="49">
        <v>0.99</v>
      </c>
      <c r="E16" s="19"/>
      <c r="F16" s="19"/>
      <c r="G16" s="64" t="s">
        <v>98</v>
      </c>
      <c r="H16" s="37">
        <v>-7.37</v>
      </c>
      <c r="I16" s="37">
        <v>0.61</v>
      </c>
      <c r="J16" s="49">
        <v>0.54</v>
      </c>
      <c r="K16" s="19"/>
      <c r="L16" s="19"/>
      <c r="M16" s="19"/>
      <c r="N16" s="790" t="s">
        <v>243</v>
      </c>
      <c r="O16" s="791"/>
      <c r="P16" s="791"/>
      <c r="Q16" s="791"/>
      <c r="R16" s="791"/>
      <c r="S16" s="791"/>
      <c r="T16" s="792"/>
      <c r="U16" s="19"/>
      <c r="V16" s="20"/>
      <c r="AD16" s="16"/>
      <c r="AO16" s="13"/>
      <c r="AQ16" s="20"/>
      <c r="AU16" s="20"/>
    </row>
    <row r="17" spans="1:47" ht="13.5" thickBot="1">
      <c r="A17" s="91" t="s">
        <v>101</v>
      </c>
      <c r="B17" s="37">
        <v>-12.76</v>
      </c>
      <c r="C17" s="37">
        <v>1.28</v>
      </c>
      <c r="D17" s="49">
        <v>1.31</v>
      </c>
      <c r="E17" s="19"/>
      <c r="F17" s="19"/>
      <c r="G17" s="91" t="s">
        <v>101</v>
      </c>
      <c r="H17" s="37">
        <v>-8.71</v>
      </c>
      <c r="I17" s="37">
        <v>0.66</v>
      </c>
      <c r="J17" s="49">
        <v>0.28</v>
      </c>
      <c r="K17" s="19"/>
      <c r="L17" s="19"/>
      <c r="M17" s="19"/>
      <c r="N17" s="732" t="s">
        <v>242</v>
      </c>
      <c r="O17" s="733"/>
      <c r="P17" s="37">
        <v>0.81</v>
      </c>
      <c r="Q17" s="37">
        <v>1.1</v>
      </c>
      <c r="R17" s="37">
        <v>0.81</v>
      </c>
      <c r="S17" s="37">
        <v>1.39</v>
      </c>
      <c r="T17" s="49">
        <v>0.1</v>
      </c>
      <c r="U17" s="19"/>
      <c r="V17" s="20"/>
      <c r="W17" s="12"/>
      <c r="X17" s="12"/>
      <c r="Y17" s="12"/>
      <c r="Z17" s="12"/>
      <c r="AD17" s="41"/>
      <c r="AQ17" s="20"/>
      <c r="AU17" s="20"/>
    </row>
    <row r="18" spans="1:42" ht="13.5" thickTop="1">
      <c r="A18" s="64" t="s">
        <v>141</v>
      </c>
      <c r="B18" s="37">
        <v>-10.47</v>
      </c>
      <c r="C18" s="37">
        <v>1.12</v>
      </c>
      <c r="D18" s="49">
        <v>0.62</v>
      </c>
      <c r="E18" s="19"/>
      <c r="F18" s="19"/>
      <c r="G18" s="64" t="s">
        <v>141</v>
      </c>
      <c r="H18" s="37">
        <v>-4.43</v>
      </c>
      <c r="I18" s="37">
        <v>0.35</v>
      </c>
      <c r="J18" s="49">
        <v>0.36</v>
      </c>
      <c r="K18" s="19"/>
      <c r="L18" s="19"/>
      <c r="M18" s="19"/>
      <c r="N18" s="790" t="s">
        <v>244</v>
      </c>
      <c r="O18" s="791"/>
      <c r="P18" s="791"/>
      <c r="Q18" s="791"/>
      <c r="R18" s="791"/>
      <c r="S18" s="791"/>
      <c r="T18" s="792"/>
      <c r="U18" s="19"/>
      <c r="V18" s="20"/>
      <c r="W18" s="749" t="s">
        <v>383</v>
      </c>
      <c r="X18" s="749"/>
      <c r="Y18" s="749"/>
      <c r="Z18" s="749"/>
      <c r="AD18" s="41"/>
      <c r="AO18" s="32"/>
      <c r="AP18" s="20"/>
    </row>
    <row r="19" spans="1:45" ht="13.5" thickBot="1">
      <c r="A19" s="644" t="s">
        <v>182</v>
      </c>
      <c r="B19" s="645"/>
      <c r="C19" s="645"/>
      <c r="D19" s="646"/>
      <c r="E19" s="15"/>
      <c r="F19" s="15"/>
      <c r="G19" s="644" t="s">
        <v>182</v>
      </c>
      <c r="H19" s="645"/>
      <c r="I19" s="645"/>
      <c r="J19" s="646"/>
      <c r="K19" s="15"/>
      <c r="L19" s="15"/>
      <c r="M19" s="15"/>
      <c r="N19" s="732" t="s">
        <v>242</v>
      </c>
      <c r="O19" s="733"/>
      <c r="P19" s="36">
        <v>0.323</v>
      </c>
      <c r="Q19" s="36">
        <v>0.243</v>
      </c>
      <c r="R19" s="36">
        <v>0.342</v>
      </c>
      <c r="S19" s="36">
        <v>0.284</v>
      </c>
      <c r="T19" s="38">
        <v>0.269</v>
      </c>
      <c r="U19" s="15"/>
      <c r="V19" s="20"/>
      <c r="W19" s="809"/>
      <c r="X19" s="809"/>
      <c r="Y19" s="809"/>
      <c r="Z19" s="809"/>
      <c r="AD19" s="20"/>
      <c r="AE19" s="20"/>
      <c r="AF19" s="20"/>
      <c r="AG19" s="20"/>
      <c r="AH19" s="20"/>
      <c r="AP19" s="20"/>
      <c r="AR19" s="72"/>
      <c r="AS19" s="52"/>
    </row>
    <row r="20" spans="1:45" ht="12.75">
      <c r="A20" s="64" t="s">
        <v>128</v>
      </c>
      <c r="B20" s="37">
        <v>-15.62</v>
      </c>
      <c r="C20" s="37">
        <v>1.69</v>
      </c>
      <c r="D20" s="49">
        <v>0.87</v>
      </c>
      <c r="E20" s="19"/>
      <c r="F20" s="19"/>
      <c r="G20" s="64" t="s">
        <v>128</v>
      </c>
      <c r="H20" s="37">
        <v>-6.51</v>
      </c>
      <c r="I20" s="37">
        <v>0.64</v>
      </c>
      <c r="J20" s="49">
        <v>0.87</v>
      </c>
      <c r="K20" s="19"/>
      <c r="L20" s="19"/>
      <c r="M20" s="19"/>
      <c r="N20" s="790" t="s">
        <v>245</v>
      </c>
      <c r="O20" s="791"/>
      <c r="P20" s="791"/>
      <c r="Q20" s="791"/>
      <c r="R20" s="791"/>
      <c r="S20" s="791"/>
      <c r="T20" s="792"/>
      <c r="U20" s="19"/>
      <c r="V20" s="20"/>
      <c r="W20" s="804" t="s">
        <v>150</v>
      </c>
      <c r="X20" s="774"/>
      <c r="Y20" s="774" t="s">
        <v>152</v>
      </c>
      <c r="Z20" s="775"/>
      <c r="AD20" s="32"/>
      <c r="AE20" s="16"/>
      <c r="AF20" s="32"/>
      <c r="AG20" s="20"/>
      <c r="AH20" s="20"/>
      <c r="AP20" s="20"/>
      <c r="AS20" s="52"/>
    </row>
    <row r="21" spans="1:45" ht="15" thickBot="1">
      <c r="A21" s="64" t="s">
        <v>127</v>
      </c>
      <c r="B21" s="37">
        <v>-11.95</v>
      </c>
      <c r="C21" s="37">
        <v>1.33</v>
      </c>
      <c r="D21" s="49">
        <v>0.59</v>
      </c>
      <c r="E21" s="19"/>
      <c r="F21" s="19"/>
      <c r="G21" s="64" t="s">
        <v>127</v>
      </c>
      <c r="H21" s="37">
        <v>-6.29</v>
      </c>
      <c r="I21" s="37">
        <v>0.56</v>
      </c>
      <c r="J21" s="49">
        <v>1.93</v>
      </c>
      <c r="K21" s="19"/>
      <c r="L21" s="19"/>
      <c r="M21" s="19"/>
      <c r="N21" s="734" t="s">
        <v>242</v>
      </c>
      <c r="O21" s="735"/>
      <c r="P21" s="40">
        <v>0.677</v>
      </c>
      <c r="Q21" s="40">
        <v>0.757</v>
      </c>
      <c r="R21" s="40">
        <v>0.658</v>
      </c>
      <c r="S21" s="40">
        <v>0.716</v>
      </c>
      <c r="T21" s="60">
        <v>0.731</v>
      </c>
      <c r="U21" s="19"/>
      <c r="V21" s="20"/>
      <c r="W21" s="776" t="s">
        <v>151</v>
      </c>
      <c r="X21" s="777"/>
      <c r="Y21" s="777" t="s">
        <v>153</v>
      </c>
      <c r="Z21" s="778"/>
      <c r="AD21" s="16"/>
      <c r="AE21" s="16"/>
      <c r="AF21" s="20"/>
      <c r="AG21" s="20"/>
      <c r="AH21" s="20"/>
      <c r="AP21" s="20"/>
      <c r="AS21" s="52"/>
    </row>
    <row r="22" spans="1:45" ht="12.75">
      <c r="A22" s="64" t="s">
        <v>98</v>
      </c>
      <c r="B22" s="37">
        <v>-12.53</v>
      </c>
      <c r="C22" s="37">
        <v>1.38</v>
      </c>
      <c r="D22" s="49">
        <v>1.08</v>
      </c>
      <c r="E22" s="19"/>
      <c r="F22" s="19"/>
      <c r="G22" s="64" t="s">
        <v>98</v>
      </c>
      <c r="H22" s="37">
        <v>-8.5</v>
      </c>
      <c r="I22" s="37">
        <v>0.84</v>
      </c>
      <c r="J22" s="49">
        <v>0.97</v>
      </c>
      <c r="K22" s="19"/>
      <c r="L22" s="19"/>
      <c r="M22" s="19"/>
      <c r="N22" s="788" t="s">
        <v>247</v>
      </c>
      <c r="O22" s="788"/>
      <c r="P22" s="788"/>
      <c r="Q22" s="788"/>
      <c r="R22" s="788"/>
      <c r="S22" s="788"/>
      <c r="T22" s="788"/>
      <c r="U22" s="19"/>
      <c r="V22" s="20"/>
      <c r="W22" s="783">
        <v>2</v>
      </c>
      <c r="X22" s="784"/>
      <c r="Y22" s="784">
        <v>0.232</v>
      </c>
      <c r="Z22" s="775"/>
      <c r="AD22" s="20"/>
      <c r="AE22" s="20"/>
      <c r="AF22" s="20"/>
      <c r="AG22" s="20"/>
      <c r="AH22" s="20"/>
      <c r="AP22" s="20"/>
      <c r="AS22" s="52"/>
    </row>
    <row r="23" spans="1:45" ht="12.75">
      <c r="A23" s="91" t="s">
        <v>101</v>
      </c>
      <c r="B23" s="37">
        <v>-12.81</v>
      </c>
      <c r="C23" s="37">
        <v>1.38</v>
      </c>
      <c r="D23" s="49">
        <v>1.34</v>
      </c>
      <c r="E23" s="19"/>
      <c r="F23" s="19"/>
      <c r="G23" s="91" t="s">
        <v>101</v>
      </c>
      <c r="H23" s="37">
        <v>-5.04</v>
      </c>
      <c r="I23" s="37">
        <v>0.45</v>
      </c>
      <c r="J23" s="49">
        <v>1.06</v>
      </c>
      <c r="K23" s="19"/>
      <c r="L23" s="19"/>
      <c r="M23" s="19"/>
      <c r="N23" s="789"/>
      <c r="O23" s="789"/>
      <c r="P23" s="789"/>
      <c r="Q23" s="789"/>
      <c r="R23" s="789"/>
      <c r="S23" s="789"/>
      <c r="T23" s="789"/>
      <c r="U23" s="19"/>
      <c r="V23" s="20"/>
      <c r="W23" s="785">
        <v>5</v>
      </c>
      <c r="X23" s="786"/>
      <c r="Y23" s="786">
        <v>0.133</v>
      </c>
      <c r="Z23" s="787"/>
      <c r="AD23" s="29"/>
      <c r="AE23" s="29"/>
      <c r="AF23" s="29"/>
      <c r="AG23" s="26"/>
      <c r="AH23" s="20"/>
      <c r="AP23" s="20"/>
      <c r="AS23" s="52"/>
    </row>
    <row r="24" spans="1:45" ht="13.5" thickBot="1">
      <c r="A24" s="67" t="s">
        <v>141</v>
      </c>
      <c r="B24" s="10">
        <v>-9.97</v>
      </c>
      <c r="C24" s="10">
        <v>1.17</v>
      </c>
      <c r="D24" s="59">
        <v>0.88</v>
      </c>
      <c r="E24" s="19"/>
      <c r="F24" s="19"/>
      <c r="G24" s="67" t="s">
        <v>141</v>
      </c>
      <c r="H24" s="10">
        <v>-5.83</v>
      </c>
      <c r="I24" s="10">
        <v>0.61</v>
      </c>
      <c r="J24" s="59">
        <v>0.55</v>
      </c>
      <c r="K24" s="19"/>
      <c r="L24" s="19"/>
      <c r="M24" s="19"/>
      <c r="N24" s="81"/>
      <c r="O24" s="81"/>
      <c r="P24" s="81"/>
      <c r="Q24" s="81"/>
      <c r="R24" s="81"/>
      <c r="S24" s="81"/>
      <c r="T24" s="81"/>
      <c r="U24" s="19"/>
      <c r="V24" s="20"/>
      <c r="W24" s="785">
        <v>10</v>
      </c>
      <c r="X24" s="786"/>
      <c r="Y24" s="786">
        <v>0.087</v>
      </c>
      <c r="Z24" s="787"/>
      <c r="AD24" s="26"/>
      <c r="AE24" s="26"/>
      <c r="AF24" s="26"/>
      <c r="AG24" s="26"/>
      <c r="AH24" s="20"/>
      <c r="AP24" s="20"/>
      <c r="AS24" s="52"/>
    </row>
    <row r="25" spans="1:42" ht="12.75">
      <c r="A25" s="16"/>
      <c r="B25" s="16"/>
      <c r="C25" s="16"/>
      <c r="D25" s="16"/>
      <c r="E25" s="16"/>
      <c r="F25" s="16"/>
      <c r="G25" s="16"/>
      <c r="H25" s="16"/>
      <c r="I25" s="16"/>
      <c r="J25" s="16"/>
      <c r="K25" s="16"/>
      <c r="L25" s="16"/>
      <c r="M25" s="16"/>
      <c r="N25" s="81"/>
      <c r="O25" s="81"/>
      <c r="P25" s="81"/>
      <c r="Q25" s="81"/>
      <c r="R25" s="81"/>
      <c r="S25" s="81"/>
      <c r="T25" s="81"/>
      <c r="U25" s="16"/>
      <c r="V25" s="20"/>
      <c r="W25" s="785">
        <v>15</v>
      </c>
      <c r="X25" s="786"/>
      <c r="Y25" s="786">
        <v>0.068</v>
      </c>
      <c r="Z25" s="787"/>
      <c r="AD25" s="23"/>
      <c r="AE25" s="23"/>
      <c r="AF25" s="23"/>
      <c r="AG25" s="23"/>
      <c r="AH25" s="20"/>
      <c r="AP25" s="20"/>
    </row>
    <row r="26" spans="1:42" ht="12.75">
      <c r="A26" s="53" t="s">
        <v>325</v>
      </c>
      <c r="B26" s="16"/>
      <c r="C26" s="16"/>
      <c r="D26" s="16"/>
      <c r="E26" s="16"/>
      <c r="F26" s="16"/>
      <c r="G26" s="16"/>
      <c r="H26" s="16"/>
      <c r="I26" s="16"/>
      <c r="J26" s="16"/>
      <c r="K26" s="16"/>
      <c r="L26" s="16"/>
      <c r="M26" s="16"/>
      <c r="N26" s="81"/>
      <c r="O26" s="81"/>
      <c r="P26" s="81"/>
      <c r="Q26" s="81"/>
      <c r="R26" s="81"/>
      <c r="S26" s="81"/>
      <c r="T26" s="81"/>
      <c r="U26" s="16"/>
      <c r="V26" s="20"/>
      <c r="W26" s="785">
        <v>20</v>
      </c>
      <c r="X26" s="786"/>
      <c r="Y26" s="786">
        <v>0.057</v>
      </c>
      <c r="Z26" s="787"/>
      <c r="AD26" s="23"/>
      <c r="AE26" s="23"/>
      <c r="AF26" s="23"/>
      <c r="AG26" s="23"/>
      <c r="AH26" s="20"/>
      <c r="AP26" s="20"/>
    </row>
    <row r="27" spans="1:42" ht="13.5" thickBot="1">
      <c r="A27" s="20"/>
      <c r="B27" s="20"/>
      <c r="C27" s="20"/>
      <c r="D27" s="20"/>
      <c r="E27" s="20"/>
      <c r="F27" s="20"/>
      <c r="G27" s="20"/>
      <c r="H27" s="20"/>
      <c r="I27" s="20"/>
      <c r="J27" s="20"/>
      <c r="K27" s="20"/>
      <c r="L27" s="20"/>
      <c r="M27" s="20"/>
      <c r="N27" s="81"/>
      <c r="O27" s="81"/>
      <c r="P27" s="81"/>
      <c r="Q27" s="81"/>
      <c r="R27" s="81"/>
      <c r="S27" s="81"/>
      <c r="T27" s="81"/>
      <c r="U27" s="20"/>
      <c r="V27" s="20"/>
      <c r="W27" s="785">
        <v>25</v>
      </c>
      <c r="X27" s="786"/>
      <c r="Y27" s="786">
        <v>0.049</v>
      </c>
      <c r="Z27" s="787"/>
      <c r="AD27" s="23"/>
      <c r="AE27" s="23"/>
      <c r="AF27" s="23"/>
      <c r="AG27" s="23"/>
      <c r="AH27" s="20"/>
      <c r="AP27" s="20"/>
    </row>
    <row r="28" spans="1:42" ht="14.25" thickBot="1" thickTop="1">
      <c r="A28" s="671" t="s">
        <v>369</v>
      </c>
      <c r="B28" s="671"/>
      <c r="C28" s="671"/>
      <c r="D28" s="671"/>
      <c r="E28" s="671"/>
      <c r="F28" s="671"/>
      <c r="G28" s="671"/>
      <c r="H28" s="671"/>
      <c r="I28" s="671"/>
      <c r="J28" s="679"/>
      <c r="K28" s="679"/>
      <c r="L28" s="739"/>
      <c r="M28" s="11"/>
      <c r="N28" s="20"/>
      <c r="O28" s="20"/>
      <c r="P28" s="20"/>
      <c r="Q28" s="20"/>
      <c r="R28" s="20"/>
      <c r="S28" s="20"/>
      <c r="T28" s="20"/>
      <c r="U28" s="6"/>
      <c r="V28" s="20"/>
      <c r="W28" s="814" t="s">
        <v>156</v>
      </c>
      <c r="X28" s="812"/>
      <c r="Y28" s="812">
        <v>0.044</v>
      </c>
      <c r="Z28" s="813"/>
      <c r="AD28" s="23"/>
      <c r="AE28" s="23"/>
      <c r="AF28" s="23"/>
      <c r="AG28" s="23"/>
      <c r="AH28" s="20"/>
      <c r="AP28" s="20"/>
    </row>
    <row r="29" spans="1:42" ht="13.5" thickBot="1">
      <c r="A29" s="672"/>
      <c r="B29" s="672"/>
      <c r="C29" s="672"/>
      <c r="D29" s="672"/>
      <c r="E29" s="672"/>
      <c r="F29" s="672"/>
      <c r="G29" s="672"/>
      <c r="H29" s="672"/>
      <c r="I29" s="672"/>
      <c r="J29" s="680"/>
      <c r="K29" s="680"/>
      <c r="L29" s="740"/>
      <c r="M29" s="11"/>
      <c r="N29" s="20"/>
      <c r="O29" s="20"/>
      <c r="P29" s="20"/>
      <c r="Q29" s="20"/>
      <c r="R29" s="20"/>
      <c r="S29" s="20"/>
      <c r="T29" s="20"/>
      <c r="U29" s="6"/>
      <c r="V29" s="20"/>
      <c r="W29" s="815" t="s">
        <v>255</v>
      </c>
      <c r="X29" s="816"/>
      <c r="Y29" s="816"/>
      <c r="Z29" s="816"/>
      <c r="AA29" s="23"/>
      <c r="AB29" s="23"/>
      <c r="AC29" s="23"/>
      <c r="AD29" s="23"/>
      <c r="AE29" s="23"/>
      <c r="AF29" s="23"/>
      <c r="AG29" s="23"/>
      <c r="AH29" s="20"/>
      <c r="AP29" s="20"/>
    </row>
    <row r="30" spans="1:42" ht="12.75">
      <c r="A30" s="683" t="s">
        <v>66</v>
      </c>
      <c r="B30" s="685" t="s">
        <v>65</v>
      </c>
      <c r="C30" s="741" t="s">
        <v>186</v>
      </c>
      <c r="D30" s="742"/>
      <c r="E30" s="742"/>
      <c r="F30" s="742"/>
      <c r="G30" s="742"/>
      <c r="H30" s="742"/>
      <c r="I30" s="742"/>
      <c r="J30" s="742"/>
      <c r="K30" s="742"/>
      <c r="L30" s="743"/>
      <c r="M30" s="15"/>
      <c r="N30" s="16"/>
      <c r="O30" s="16"/>
      <c r="P30" s="16"/>
      <c r="Q30" s="16"/>
      <c r="R30" s="16"/>
      <c r="S30" s="16"/>
      <c r="T30" s="16"/>
      <c r="U30" s="81"/>
      <c r="V30" s="20"/>
      <c r="W30" s="817"/>
      <c r="X30" s="817"/>
      <c r="Y30" s="817"/>
      <c r="Z30" s="817"/>
      <c r="AP30" s="20"/>
    </row>
    <row r="31" spans="1:42" ht="12.75">
      <c r="A31" s="684"/>
      <c r="B31" s="686"/>
      <c r="C31" s="661" t="s">
        <v>44</v>
      </c>
      <c r="D31" s="645"/>
      <c r="E31" s="645"/>
      <c r="F31" s="645"/>
      <c r="G31" s="645"/>
      <c r="H31" s="645"/>
      <c r="I31" s="645"/>
      <c r="J31" s="645"/>
      <c r="K31" s="645"/>
      <c r="L31" s="646"/>
      <c r="M31" s="15"/>
      <c r="N31" s="16"/>
      <c r="O31" s="16"/>
      <c r="P31" s="16"/>
      <c r="Q31" s="16"/>
      <c r="R31" s="16"/>
      <c r="S31" s="16"/>
      <c r="T31" s="16"/>
      <c r="U31" s="25"/>
      <c r="V31" s="20"/>
      <c r="W31" s="823" t="s">
        <v>256</v>
      </c>
      <c r="X31" s="824"/>
      <c r="Y31" s="824"/>
      <c r="Z31" s="824"/>
      <c r="AJ31" s="79"/>
      <c r="AO31" s="16"/>
      <c r="AP31" s="20"/>
    </row>
    <row r="32" spans="1:42" ht="13.5" thickBot="1">
      <c r="A32" s="779" t="s">
        <v>46</v>
      </c>
      <c r="B32" s="780"/>
      <c r="C32" s="659" t="s">
        <v>128</v>
      </c>
      <c r="D32" s="660"/>
      <c r="E32" s="661" t="s">
        <v>127</v>
      </c>
      <c r="F32" s="662"/>
      <c r="G32" s="661" t="s">
        <v>98</v>
      </c>
      <c r="H32" s="662"/>
      <c r="I32" s="661" t="s">
        <v>101</v>
      </c>
      <c r="J32" s="661"/>
      <c r="K32" s="661" t="s">
        <v>141</v>
      </c>
      <c r="L32" s="659"/>
      <c r="M32" s="68"/>
      <c r="N32" s="32"/>
      <c r="O32" s="32"/>
      <c r="P32" s="32"/>
      <c r="Q32" s="32"/>
      <c r="R32" s="32"/>
      <c r="S32" s="32"/>
      <c r="T32" s="32"/>
      <c r="U32" s="20"/>
      <c r="V32" s="20"/>
      <c r="W32" s="825"/>
      <c r="X32" s="825"/>
      <c r="Y32" s="825"/>
      <c r="Z32" s="825"/>
      <c r="AJ32" s="79"/>
      <c r="AO32" s="16"/>
      <c r="AP32" s="20"/>
    </row>
    <row r="33" spans="1:42" ht="12.75">
      <c r="A33" s="781"/>
      <c r="B33" s="782"/>
      <c r="C33" s="65" t="s">
        <v>187</v>
      </c>
      <c r="D33" s="57" t="s">
        <v>91</v>
      </c>
      <c r="E33" s="65" t="s">
        <v>187</v>
      </c>
      <c r="F33" s="57" t="s">
        <v>91</v>
      </c>
      <c r="G33" s="65" t="s">
        <v>187</v>
      </c>
      <c r="H33" s="57" t="s">
        <v>91</v>
      </c>
      <c r="I33" s="65" t="s">
        <v>187</v>
      </c>
      <c r="J33" s="57" t="s">
        <v>91</v>
      </c>
      <c r="K33" s="65" t="s">
        <v>187</v>
      </c>
      <c r="L33" s="94" t="s">
        <v>91</v>
      </c>
      <c r="M33" s="82"/>
      <c r="N33" s="82"/>
      <c r="O33" s="82"/>
      <c r="P33" s="82"/>
      <c r="Q33" s="82"/>
      <c r="R33" s="82"/>
      <c r="S33" s="82"/>
      <c r="T33" s="82"/>
      <c r="U33" s="70"/>
      <c r="V33" s="20"/>
      <c r="W33" s="35"/>
      <c r="X33" s="35"/>
      <c r="Y33" s="19"/>
      <c r="Z33" s="16"/>
      <c r="AJ33" s="33"/>
      <c r="AO33" s="66"/>
      <c r="AP33" s="20"/>
    </row>
    <row r="34" spans="1:42" ht="12.75">
      <c r="A34" s="654" t="s">
        <v>37</v>
      </c>
      <c r="B34" s="648"/>
      <c r="C34" s="62">
        <v>0.73</v>
      </c>
      <c r="D34" s="62">
        <v>0.778</v>
      </c>
      <c r="E34" s="62">
        <v>0.845</v>
      </c>
      <c r="F34" s="62">
        <v>0.842</v>
      </c>
      <c r="G34" s="62">
        <v>0.511</v>
      </c>
      <c r="H34" s="62">
        <v>0.506</v>
      </c>
      <c r="I34" s="62">
        <v>0.832</v>
      </c>
      <c r="J34" s="62">
        <v>0.662</v>
      </c>
      <c r="K34" s="62">
        <v>0.846</v>
      </c>
      <c r="L34" s="63">
        <v>0.651</v>
      </c>
      <c r="M34" s="100"/>
      <c r="N34" s="100"/>
      <c r="O34" s="100"/>
      <c r="P34" s="100"/>
      <c r="Q34" s="100"/>
      <c r="R34" s="100"/>
      <c r="S34" s="100"/>
      <c r="T34" s="100"/>
      <c r="U34" s="70"/>
      <c r="V34" s="20"/>
      <c r="AJ34" s="102"/>
      <c r="AN34" s="66"/>
      <c r="AO34" s="66"/>
      <c r="AP34" s="20"/>
    </row>
    <row r="35" spans="1:47" ht="13.5" thickBot="1">
      <c r="A35" s="647" t="s">
        <v>36</v>
      </c>
      <c r="B35" s="648"/>
      <c r="C35" s="36">
        <v>0.068</v>
      </c>
      <c r="D35" s="36">
        <v>0.004</v>
      </c>
      <c r="E35" s="36">
        <v>0.034</v>
      </c>
      <c r="F35" s="36">
        <v>0.02</v>
      </c>
      <c r="G35" s="36">
        <v>0.077</v>
      </c>
      <c r="H35" s="36">
        <v>0.004</v>
      </c>
      <c r="I35" s="36">
        <v>0.02</v>
      </c>
      <c r="J35" s="36">
        <v>0.007</v>
      </c>
      <c r="K35" s="36">
        <v>0.021</v>
      </c>
      <c r="L35" s="38">
        <v>0.004</v>
      </c>
      <c r="M35" s="23"/>
      <c r="N35" s="23"/>
      <c r="O35" s="23"/>
      <c r="P35" s="23"/>
      <c r="Q35" s="23"/>
      <c r="R35" s="23"/>
      <c r="S35" s="23"/>
      <c r="T35" s="23"/>
      <c r="U35" s="20"/>
      <c r="V35" s="20"/>
      <c r="AJ35" s="102"/>
      <c r="AN35" s="20"/>
      <c r="AO35" s="20"/>
      <c r="AP35" s="20"/>
      <c r="AQ35" s="20"/>
      <c r="AR35" s="20"/>
      <c r="AS35" s="20"/>
      <c r="AT35" s="20"/>
      <c r="AU35" s="20"/>
    </row>
    <row r="36" spans="1:47" ht="13.5" thickTop="1">
      <c r="A36" s="647" t="s">
        <v>35</v>
      </c>
      <c r="B36" s="648"/>
      <c r="C36" s="36">
        <v>0.085</v>
      </c>
      <c r="D36" s="36">
        <v>0.079</v>
      </c>
      <c r="E36" s="36">
        <v>0.069</v>
      </c>
      <c r="F36" s="36">
        <v>0.02</v>
      </c>
      <c r="G36" s="36">
        <v>0.181</v>
      </c>
      <c r="H36" s="36">
        <v>0.13</v>
      </c>
      <c r="I36" s="36">
        <v>0.04</v>
      </c>
      <c r="J36" s="36">
        <v>0.036</v>
      </c>
      <c r="K36" s="36">
        <v>0.05</v>
      </c>
      <c r="L36" s="38">
        <v>0.059</v>
      </c>
      <c r="M36" s="23"/>
      <c r="N36" s="23"/>
      <c r="O36" s="23"/>
      <c r="P36" s="23"/>
      <c r="Q36" s="23"/>
      <c r="R36" s="23"/>
      <c r="S36" s="23"/>
      <c r="T36" s="23"/>
      <c r="U36" s="20"/>
      <c r="V36" s="20"/>
      <c r="W36" s="671" t="s">
        <v>385</v>
      </c>
      <c r="X36" s="713"/>
      <c r="Y36" s="713"/>
      <c r="AJ36" s="16"/>
      <c r="AN36" s="32"/>
      <c r="AO36" s="32"/>
      <c r="AP36" s="32"/>
      <c r="AQ36" s="32"/>
      <c r="AR36" s="32"/>
      <c r="AS36" s="32"/>
      <c r="AT36" s="32"/>
      <c r="AU36" s="32"/>
    </row>
    <row r="37" spans="1:47" ht="12.75">
      <c r="A37" s="647" t="s">
        <v>184</v>
      </c>
      <c r="B37" s="648"/>
      <c r="C37" s="36">
        <v>0.015</v>
      </c>
      <c r="D37" s="36">
        <v>0.031</v>
      </c>
      <c r="E37" s="36">
        <v>0.001</v>
      </c>
      <c r="F37" s="36">
        <v>0.078</v>
      </c>
      <c r="G37" s="36">
        <v>0.093</v>
      </c>
      <c r="H37" s="36">
        <v>0.249</v>
      </c>
      <c r="I37" s="36">
        <v>0.05</v>
      </c>
      <c r="J37" s="36">
        <v>0.223</v>
      </c>
      <c r="K37" s="36">
        <v>0.061</v>
      </c>
      <c r="L37" s="38">
        <v>0.248</v>
      </c>
      <c r="M37" s="23"/>
      <c r="N37" s="23"/>
      <c r="O37" s="23"/>
      <c r="P37" s="23"/>
      <c r="Q37" s="23"/>
      <c r="R37" s="23"/>
      <c r="S37" s="23"/>
      <c r="T37" s="23"/>
      <c r="U37" s="16"/>
      <c r="V37" s="20"/>
      <c r="W37" s="818"/>
      <c r="X37" s="818"/>
      <c r="Y37" s="818"/>
      <c r="AJ37" s="23"/>
      <c r="AN37" s="16"/>
      <c r="AO37" s="16"/>
      <c r="AP37" s="16"/>
      <c r="AQ37" s="16"/>
      <c r="AR37" s="32"/>
      <c r="AS37" s="16"/>
      <c r="AT37" s="16"/>
      <c r="AU37" s="16"/>
    </row>
    <row r="38" spans="1:47" ht="12.75">
      <c r="A38" s="647" t="s">
        <v>185</v>
      </c>
      <c r="B38" s="648"/>
      <c r="C38" s="36">
        <v>0.073</v>
      </c>
      <c r="D38" s="36">
        <v>0.055</v>
      </c>
      <c r="E38" s="36">
        <v>0.017</v>
      </c>
      <c r="F38" s="36">
        <v>0.02</v>
      </c>
      <c r="G38" s="36">
        <v>0.082</v>
      </c>
      <c r="H38" s="36">
        <v>0.031</v>
      </c>
      <c r="I38" s="36">
        <v>0.01</v>
      </c>
      <c r="J38" s="36">
        <v>0.001</v>
      </c>
      <c r="K38" s="36">
        <v>0.004</v>
      </c>
      <c r="L38" s="38">
        <v>0.009</v>
      </c>
      <c r="M38" s="23"/>
      <c r="N38" s="23"/>
      <c r="O38" s="23"/>
      <c r="P38" s="23"/>
      <c r="Q38" s="23"/>
      <c r="R38" s="23"/>
      <c r="S38" s="23"/>
      <c r="T38" s="23"/>
      <c r="U38" s="81"/>
      <c r="V38" s="20"/>
      <c r="W38" s="818"/>
      <c r="X38" s="818"/>
      <c r="Y38" s="818"/>
      <c r="AJ38" s="23"/>
      <c r="AN38" s="32"/>
      <c r="AO38" s="32"/>
      <c r="AP38" s="32"/>
      <c r="AQ38" s="20"/>
      <c r="AR38" s="32"/>
      <c r="AS38" s="32"/>
      <c r="AT38" s="32"/>
      <c r="AU38" s="32"/>
    </row>
    <row r="39" spans="1:47" ht="13.5" thickBot="1">
      <c r="A39" s="647" t="s">
        <v>189</v>
      </c>
      <c r="B39" s="663"/>
      <c r="C39" s="36">
        <v>0.029</v>
      </c>
      <c r="D39" s="36">
        <v>0.053</v>
      </c>
      <c r="E39" s="36">
        <v>0.034</v>
      </c>
      <c r="F39" s="36">
        <v>0.02</v>
      </c>
      <c r="G39" s="36">
        <v>0.056</v>
      </c>
      <c r="H39" s="36">
        <v>0.08</v>
      </c>
      <c r="I39" s="36">
        <v>0.048</v>
      </c>
      <c r="J39" s="36">
        <v>0.071</v>
      </c>
      <c r="K39" s="36">
        <v>0.018</v>
      </c>
      <c r="L39" s="38">
        <v>0.029</v>
      </c>
      <c r="M39" s="23"/>
      <c r="N39" s="23"/>
      <c r="O39" s="23"/>
      <c r="P39" s="23"/>
      <c r="Q39" s="23"/>
      <c r="R39" s="23"/>
      <c r="S39" s="23"/>
      <c r="T39" s="23"/>
      <c r="U39" s="81"/>
      <c r="V39" s="81"/>
      <c r="W39" s="714"/>
      <c r="X39" s="714"/>
      <c r="Y39" s="714"/>
      <c r="AJ39" s="23"/>
      <c r="AK39" s="20"/>
      <c r="AL39" s="32"/>
      <c r="AM39" s="32"/>
      <c r="AN39" s="32"/>
      <c r="AO39" s="32"/>
      <c r="AP39" s="32"/>
      <c r="AQ39" s="20"/>
      <c r="AR39" s="32"/>
      <c r="AS39" s="32"/>
      <c r="AT39" s="32"/>
      <c r="AU39" s="32"/>
    </row>
    <row r="40" spans="1:47" ht="13.5" thickBot="1">
      <c r="A40" s="95" t="s">
        <v>188</v>
      </c>
      <c r="B40" s="96"/>
      <c r="C40" s="92"/>
      <c r="D40" s="92"/>
      <c r="E40" s="92"/>
      <c r="F40" s="92"/>
      <c r="G40" s="92"/>
      <c r="H40" s="92"/>
      <c r="I40" s="92"/>
      <c r="J40" s="92"/>
      <c r="K40" s="92"/>
      <c r="L40" s="93"/>
      <c r="M40" s="6"/>
      <c r="N40" s="6"/>
      <c r="O40" s="6"/>
      <c r="P40" s="6"/>
      <c r="Q40" s="6"/>
      <c r="R40" s="6"/>
      <c r="S40" s="6"/>
      <c r="T40" s="6"/>
      <c r="U40" s="81"/>
      <c r="V40" s="81"/>
      <c r="W40" s="819" t="s">
        <v>159</v>
      </c>
      <c r="X40" s="819"/>
      <c r="Y40" s="68" t="s">
        <v>100</v>
      </c>
      <c r="AJ40" s="23"/>
      <c r="AK40" s="20"/>
      <c r="AL40" s="32"/>
      <c r="AM40" s="32"/>
      <c r="AN40" s="32"/>
      <c r="AO40" s="32"/>
      <c r="AP40" s="33"/>
      <c r="AQ40" s="20"/>
      <c r="AR40" s="32"/>
      <c r="AS40" s="32"/>
      <c r="AT40" s="32"/>
      <c r="AU40" s="32"/>
    </row>
    <row r="41" spans="1:47" ht="12.75">
      <c r="A41" s="655" t="s">
        <v>46</v>
      </c>
      <c r="B41" s="656"/>
      <c r="C41" s="661" t="s">
        <v>45</v>
      </c>
      <c r="D41" s="645"/>
      <c r="E41" s="645"/>
      <c r="F41" s="645"/>
      <c r="G41" s="645"/>
      <c r="H41" s="645"/>
      <c r="I41" s="645"/>
      <c r="J41" s="645"/>
      <c r="K41" s="645"/>
      <c r="L41" s="646"/>
      <c r="M41" s="16"/>
      <c r="N41" s="16"/>
      <c r="O41" s="16"/>
      <c r="P41" s="16"/>
      <c r="Q41" s="16"/>
      <c r="R41" s="16"/>
      <c r="S41" s="16"/>
      <c r="T41" s="16"/>
      <c r="U41" s="20"/>
      <c r="V41" s="19"/>
      <c r="W41" s="820">
        <v>10</v>
      </c>
      <c r="X41" s="821"/>
      <c r="Y41" s="74">
        <v>1.01</v>
      </c>
      <c r="AJ41" s="23"/>
      <c r="AK41" s="22"/>
      <c r="AL41" s="16"/>
      <c r="AM41" s="16"/>
      <c r="AN41" s="16"/>
      <c r="AO41" s="22"/>
      <c r="AP41" s="21"/>
      <c r="AQ41" s="20"/>
      <c r="AR41" s="16"/>
      <c r="AS41" s="16"/>
      <c r="AT41" s="16"/>
      <c r="AU41" s="22"/>
    </row>
    <row r="42" spans="1:47" ht="12.75">
      <c r="A42" s="664"/>
      <c r="B42" s="665"/>
      <c r="C42" s="662" t="s">
        <v>128</v>
      </c>
      <c r="D42" s="662"/>
      <c r="E42" s="661" t="s">
        <v>127</v>
      </c>
      <c r="F42" s="662"/>
      <c r="G42" s="661" t="s">
        <v>98</v>
      </c>
      <c r="H42" s="662"/>
      <c r="I42" s="661" t="s">
        <v>101</v>
      </c>
      <c r="J42" s="661"/>
      <c r="K42" s="661" t="s">
        <v>141</v>
      </c>
      <c r="L42" s="659"/>
      <c r="M42" s="32"/>
      <c r="N42" s="32"/>
      <c r="O42" s="32"/>
      <c r="P42" s="32"/>
      <c r="Q42" s="32"/>
      <c r="R42" s="32"/>
      <c r="S42" s="32"/>
      <c r="T42" s="32"/>
      <c r="U42" s="27"/>
      <c r="V42" s="81"/>
      <c r="W42" s="822">
        <v>15</v>
      </c>
      <c r="X42" s="745"/>
      <c r="Y42" s="9">
        <v>1</v>
      </c>
      <c r="AJ42" s="81"/>
      <c r="AK42" s="20"/>
      <c r="AL42" s="20"/>
      <c r="AM42" s="20"/>
      <c r="AN42" s="20"/>
      <c r="AO42" s="20"/>
      <c r="AP42" s="20"/>
      <c r="AQ42" s="20"/>
      <c r="AR42" s="20"/>
      <c r="AS42" s="20"/>
      <c r="AT42" s="20"/>
      <c r="AU42" s="20"/>
    </row>
    <row r="43" spans="1:47" ht="12.75">
      <c r="A43" s="666"/>
      <c r="B43" s="667"/>
      <c r="C43" s="65" t="s">
        <v>187</v>
      </c>
      <c r="D43" s="57" t="s">
        <v>91</v>
      </c>
      <c r="E43" s="65" t="s">
        <v>187</v>
      </c>
      <c r="F43" s="57" t="s">
        <v>91</v>
      </c>
      <c r="G43" s="65" t="s">
        <v>187</v>
      </c>
      <c r="H43" s="57" t="s">
        <v>91</v>
      </c>
      <c r="I43" s="65" t="s">
        <v>187</v>
      </c>
      <c r="J43" s="57" t="s">
        <v>91</v>
      </c>
      <c r="K43" s="65" t="s">
        <v>187</v>
      </c>
      <c r="L43" s="94" t="s">
        <v>91</v>
      </c>
      <c r="M43" s="82"/>
      <c r="N43" s="82"/>
      <c r="O43" s="82"/>
      <c r="P43" s="82"/>
      <c r="Q43" s="82"/>
      <c r="R43" s="82"/>
      <c r="S43" s="82"/>
      <c r="T43" s="82"/>
      <c r="U43" s="82"/>
      <c r="V43" s="81"/>
      <c r="W43" s="822">
        <v>20</v>
      </c>
      <c r="X43" s="745"/>
      <c r="Y43" s="9">
        <v>0.99</v>
      </c>
      <c r="AJ43" s="81"/>
      <c r="AK43" s="20"/>
      <c r="AL43" s="20"/>
      <c r="AM43" s="20"/>
      <c r="AN43" s="20"/>
      <c r="AO43" s="20"/>
      <c r="AP43" s="20"/>
      <c r="AQ43" s="20"/>
      <c r="AR43" s="20"/>
      <c r="AS43" s="20"/>
      <c r="AT43" s="20"/>
      <c r="AU43" s="20"/>
    </row>
    <row r="44" spans="1:25" ht="12.75">
      <c r="A44" s="654" t="s">
        <v>37</v>
      </c>
      <c r="B44" s="648"/>
      <c r="C44" s="420">
        <v>0.5</v>
      </c>
      <c r="D44" s="420">
        <v>0.1</v>
      </c>
      <c r="E44" s="420"/>
      <c r="F44" s="420"/>
      <c r="G44" s="420">
        <v>0.75</v>
      </c>
      <c r="H44" s="420"/>
      <c r="I44" s="420"/>
      <c r="J44" s="420"/>
      <c r="K44" s="420"/>
      <c r="L44" s="421"/>
      <c r="M44" s="101"/>
      <c r="N44" s="101"/>
      <c r="O44" s="101"/>
      <c r="P44" s="101"/>
      <c r="Q44" s="101"/>
      <c r="R44" s="101"/>
      <c r="S44" s="101"/>
      <c r="T44" s="101"/>
      <c r="U44" s="82"/>
      <c r="V44" s="81"/>
      <c r="W44" s="822">
        <v>30</v>
      </c>
      <c r="X44" s="745"/>
      <c r="Y44" s="9">
        <v>0.98</v>
      </c>
    </row>
    <row r="45" spans="1:25" ht="12.75">
      <c r="A45" s="647" t="s">
        <v>36</v>
      </c>
      <c r="B45" s="648"/>
      <c r="C45" s="420">
        <v>0.51</v>
      </c>
      <c r="D45" s="420">
        <v>0.11</v>
      </c>
      <c r="E45" s="420"/>
      <c r="F45" s="420"/>
      <c r="G45" s="420">
        <v>0.65</v>
      </c>
      <c r="H45" s="420"/>
      <c r="I45" s="420"/>
      <c r="J45" s="420"/>
      <c r="K45" s="420"/>
      <c r="L45" s="421"/>
      <c r="M45" s="101"/>
      <c r="N45" s="101"/>
      <c r="O45" s="101"/>
      <c r="P45" s="101"/>
      <c r="Q45" s="101"/>
      <c r="R45" s="101"/>
      <c r="S45" s="101"/>
      <c r="T45" s="101"/>
      <c r="U45" s="83"/>
      <c r="V45" s="81"/>
      <c r="W45" s="822">
        <v>40</v>
      </c>
      <c r="X45" s="745"/>
      <c r="Y45" s="9">
        <v>0.97</v>
      </c>
    </row>
    <row r="46" spans="1:25" ht="12.75">
      <c r="A46" s="647" t="s">
        <v>35</v>
      </c>
      <c r="B46" s="648"/>
      <c r="C46" s="420">
        <v>0.52</v>
      </c>
      <c r="D46" s="420">
        <v>0.12</v>
      </c>
      <c r="E46" s="420"/>
      <c r="F46" s="420"/>
      <c r="G46" s="420">
        <v>0.55</v>
      </c>
      <c r="H46" s="420"/>
      <c r="I46" s="420"/>
      <c r="J46" s="420"/>
      <c r="K46" s="420"/>
      <c r="L46" s="421"/>
      <c r="M46" s="101"/>
      <c r="N46" s="101"/>
      <c r="O46" s="101"/>
      <c r="P46" s="101"/>
      <c r="Q46" s="101"/>
      <c r="R46" s="101"/>
      <c r="S46" s="101"/>
      <c r="T46" s="101"/>
      <c r="U46" s="84"/>
      <c r="V46" s="81"/>
      <c r="W46" s="822">
        <v>50</v>
      </c>
      <c r="X46" s="745"/>
      <c r="Y46" s="9">
        <v>0.96</v>
      </c>
    </row>
    <row r="47" spans="1:25" ht="12.75">
      <c r="A47" s="647" t="s">
        <v>184</v>
      </c>
      <c r="B47" s="648"/>
      <c r="C47" s="422">
        <v>0.53</v>
      </c>
      <c r="D47" s="422">
        <v>0.13</v>
      </c>
      <c r="E47" s="422"/>
      <c r="F47" s="422"/>
      <c r="G47" s="422">
        <v>0.45</v>
      </c>
      <c r="H47" s="422"/>
      <c r="I47" s="422"/>
      <c r="J47" s="422"/>
      <c r="K47" s="422"/>
      <c r="L47" s="423"/>
      <c r="M47" s="34"/>
      <c r="N47" s="34"/>
      <c r="O47" s="34"/>
      <c r="P47" s="34"/>
      <c r="Q47" s="34"/>
      <c r="R47" s="34"/>
      <c r="S47" s="34"/>
      <c r="T47" s="34"/>
      <c r="U47" s="6"/>
      <c r="V47" s="81"/>
      <c r="W47" s="822">
        <v>60</v>
      </c>
      <c r="X47" s="745"/>
      <c r="Y47" s="9">
        <v>0.95</v>
      </c>
    </row>
    <row r="48" spans="1:25" ht="12.75">
      <c r="A48" s="647" t="s">
        <v>185</v>
      </c>
      <c r="B48" s="648"/>
      <c r="C48" s="422">
        <v>0.54</v>
      </c>
      <c r="D48" s="422">
        <v>0.14</v>
      </c>
      <c r="E48" s="422"/>
      <c r="F48" s="422"/>
      <c r="G48" s="422">
        <v>0.35</v>
      </c>
      <c r="H48" s="422"/>
      <c r="I48" s="422"/>
      <c r="J48" s="422"/>
      <c r="K48" s="422"/>
      <c r="L48" s="423"/>
      <c r="M48" s="34"/>
      <c r="N48" s="34"/>
      <c r="O48" s="34"/>
      <c r="P48" s="34"/>
      <c r="Q48" s="34"/>
      <c r="R48" s="34"/>
      <c r="S48" s="34"/>
      <c r="T48" s="34"/>
      <c r="U48" s="6"/>
      <c r="V48" s="81"/>
      <c r="W48" s="822">
        <v>70</v>
      </c>
      <c r="X48" s="745"/>
      <c r="Y48" s="9">
        <v>0.94</v>
      </c>
    </row>
    <row r="49" spans="1:25" ht="13.5" thickBot="1">
      <c r="A49" s="681" t="s">
        <v>189</v>
      </c>
      <c r="B49" s="682"/>
      <c r="C49" s="424">
        <v>0.55</v>
      </c>
      <c r="D49" s="424">
        <v>0.15</v>
      </c>
      <c r="E49" s="424"/>
      <c r="F49" s="424"/>
      <c r="G49" s="424">
        <v>0.25</v>
      </c>
      <c r="H49" s="424"/>
      <c r="I49" s="424"/>
      <c r="J49" s="424"/>
      <c r="K49" s="424"/>
      <c r="L49" s="425"/>
      <c r="M49" s="34"/>
      <c r="N49" s="34"/>
      <c r="O49" s="34"/>
      <c r="P49" s="34"/>
      <c r="Q49" s="34"/>
      <c r="R49" s="34"/>
      <c r="S49" s="34"/>
      <c r="T49" s="34"/>
      <c r="U49" s="6"/>
      <c r="V49" s="81"/>
      <c r="W49" s="838">
        <v>80</v>
      </c>
      <c r="X49" s="745"/>
      <c r="Y49" s="9">
        <v>0.93</v>
      </c>
    </row>
    <row r="50" spans="1:25" ht="12.75">
      <c r="A50" s="114" t="s">
        <v>368</v>
      </c>
      <c r="B50" s="14"/>
      <c r="C50" s="6"/>
      <c r="D50" s="6"/>
      <c r="E50" s="6"/>
      <c r="F50" s="6"/>
      <c r="G50" s="6"/>
      <c r="H50" s="6"/>
      <c r="I50" s="6"/>
      <c r="J50" s="6"/>
      <c r="K50" s="6"/>
      <c r="L50" s="6"/>
      <c r="M50" s="6"/>
      <c r="N50" s="6"/>
      <c r="O50" s="6"/>
      <c r="P50" s="6"/>
      <c r="Q50" s="6"/>
      <c r="R50" s="6"/>
      <c r="S50" s="6"/>
      <c r="T50" s="6"/>
      <c r="U50" s="6"/>
      <c r="V50" s="81"/>
      <c r="W50" s="838">
        <v>90</v>
      </c>
      <c r="X50" s="745"/>
      <c r="Y50" s="49">
        <v>0.93</v>
      </c>
    </row>
    <row r="51" spans="1:25" ht="13.5" thickBot="1">
      <c r="A51" s="20"/>
      <c r="B51" s="20"/>
      <c r="C51" s="20"/>
      <c r="D51" s="20"/>
      <c r="E51" s="20"/>
      <c r="F51" s="20"/>
      <c r="G51" s="20"/>
      <c r="H51" s="20"/>
      <c r="I51" s="20"/>
      <c r="J51" s="20"/>
      <c r="K51" s="20"/>
      <c r="L51" s="20"/>
      <c r="M51" s="20"/>
      <c r="N51" s="20"/>
      <c r="O51" s="20"/>
      <c r="P51" s="20"/>
      <c r="Q51" s="20"/>
      <c r="R51" s="20"/>
      <c r="S51" s="20"/>
      <c r="T51" s="20"/>
      <c r="U51" s="20"/>
      <c r="V51" s="81"/>
      <c r="W51" s="839">
        <v>100</v>
      </c>
      <c r="X51" s="840"/>
      <c r="Y51" s="59">
        <v>0.92</v>
      </c>
    </row>
    <row r="52" spans="1:25" ht="13.5" thickBot="1">
      <c r="A52" s="20"/>
      <c r="B52" s="20"/>
      <c r="C52" s="20"/>
      <c r="D52" s="20"/>
      <c r="E52" s="20"/>
      <c r="F52" s="20"/>
      <c r="G52" s="20"/>
      <c r="H52" s="20"/>
      <c r="I52" s="20"/>
      <c r="J52" s="20"/>
      <c r="K52" s="20"/>
      <c r="L52" s="20"/>
      <c r="M52" s="20"/>
      <c r="N52" s="20"/>
      <c r="O52" s="20"/>
      <c r="P52" s="20"/>
      <c r="Q52" s="20"/>
      <c r="R52" s="20"/>
      <c r="S52" s="20"/>
      <c r="T52" s="20"/>
      <c r="U52" s="20"/>
      <c r="V52" s="81"/>
      <c r="Y52" s="73"/>
    </row>
    <row r="53" spans="1:22" ht="13.5" thickTop="1">
      <c r="A53" s="671" t="s">
        <v>371</v>
      </c>
      <c r="B53" s="671"/>
      <c r="C53" s="671"/>
      <c r="D53" s="671"/>
      <c r="E53" s="671"/>
      <c r="F53" s="671"/>
      <c r="G53" s="671"/>
      <c r="H53" s="671"/>
      <c r="I53" s="671"/>
      <c r="J53" s="679"/>
      <c r="K53" s="679"/>
      <c r="L53" s="739"/>
      <c r="M53" s="11"/>
      <c r="N53" s="20"/>
      <c r="O53" s="20"/>
      <c r="P53" s="20"/>
      <c r="Q53" s="20"/>
      <c r="R53" s="20"/>
      <c r="S53" s="20"/>
      <c r="T53" s="20"/>
      <c r="U53" s="20"/>
      <c r="V53" s="81"/>
    </row>
    <row r="54" spans="1:22" ht="13.5" thickBot="1">
      <c r="A54" s="672"/>
      <c r="B54" s="672"/>
      <c r="C54" s="672"/>
      <c r="D54" s="672"/>
      <c r="E54" s="672"/>
      <c r="F54" s="672"/>
      <c r="G54" s="672"/>
      <c r="H54" s="672"/>
      <c r="I54" s="672"/>
      <c r="J54" s="680"/>
      <c r="K54" s="680"/>
      <c r="L54" s="740"/>
      <c r="M54" s="11"/>
      <c r="N54" s="20"/>
      <c r="O54" s="20"/>
      <c r="P54" s="20"/>
      <c r="Q54" s="20"/>
      <c r="R54" s="20"/>
      <c r="S54" s="20"/>
      <c r="T54" s="20"/>
      <c r="U54" s="16"/>
      <c r="V54" s="81"/>
    </row>
    <row r="55" spans="1:22" ht="12.75">
      <c r="A55" s="683" t="s">
        <v>66</v>
      </c>
      <c r="B55" s="685" t="s">
        <v>65</v>
      </c>
      <c r="C55" s="741" t="s">
        <v>186</v>
      </c>
      <c r="D55" s="742"/>
      <c r="E55" s="742"/>
      <c r="F55" s="742"/>
      <c r="G55" s="742"/>
      <c r="H55" s="742"/>
      <c r="I55" s="742"/>
      <c r="J55" s="742"/>
      <c r="K55" s="742"/>
      <c r="L55" s="743"/>
      <c r="M55" s="15"/>
      <c r="N55" s="16"/>
      <c r="O55" s="16"/>
      <c r="P55" s="16"/>
      <c r="Q55" s="16"/>
      <c r="R55" s="16"/>
      <c r="S55" s="16"/>
      <c r="T55" s="16"/>
      <c r="U55" s="23"/>
      <c r="V55" s="81"/>
    </row>
    <row r="56" spans="1:22" ht="12.75">
      <c r="A56" s="684"/>
      <c r="B56" s="686"/>
      <c r="C56" s="661" t="s">
        <v>44</v>
      </c>
      <c r="D56" s="645"/>
      <c r="E56" s="645"/>
      <c r="F56" s="645"/>
      <c r="G56" s="645"/>
      <c r="H56" s="645"/>
      <c r="I56" s="645"/>
      <c r="J56" s="645"/>
      <c r="K56" s="645"/>
      <c r="L56" s="646"/>
      <c r="M56" s="15"/>
      <c r="N56" s="16"/>
      <c r="O56" s="16"/>
      <c r="P56" s="16"/>
      <c r="Q56" s="16"/>
      <c r="R56" s="16"/>
      <c r="S56" s="16"/>
      <c r="T56" s="16"/>
      <c r="U56" s="23"/>
      <c r="V56" s="81"/>
    </row>
    <row r="57" spans="1:22" ht="12.75">
      <c r="A57" s="779" t="s">
        <v>46</v>
      </c>
      <c r="B57" s="780"/>
      <c r="C57" s="659" t="s">
        <v>128</v>
      </c>
      <c r="D57" s="660"/>
      <c r="E57" s="661" t="s">
        <v>127</v>
      </c>
      <c r="F57" s="662"/>
      <c r="G57" s="661" t="s">
        <v>98</v>
      </c>
      <c r="H57" s="662"/>
      <c r="I57" s="661" t="s">
        <v>101</v>
      </c>
      <c r="J57" s="661"/>
      <c r="K57" s="661" t="s">
        <v>141</v>
      </c>
      <c r="L57" s="659"/>
      <c r="M57" s="68"/>
      <c r="N57" s="32"/>
      <c r="O57" s="32"/>
      <c r="P57" s="32"/>
      <c r="Q57" s="32"/>
      <c r="R57" s="32"/>
      <c r="S57" s="32"/>
      <c r="T57" s="32"/>
      <c r="U57" s="23"/>
      <c r="V57" s="81"/>
    </row>
    <row r="58" spans="1:22" ht="12.75">
      <c r="A58" s="781"/>
      <c r="B58" s="782"/>
      <c r="C58" s="65" t="s">
        <v>187</v>
      </c>
      <c r="D58" s="57" t="s">
        <v>91</v>
      </c>
      <c r="E58" s="65" t="s">
        <v>187</v>
      </c>
      <c r="F58" s="57" t="s">
        <v>91</v>
      </c>
      <c r="G58" s="65" t="s">
        <v>187</v>
      </c>
      <c r="H58" s="57" t="s">
        <v>91</v>
      </c>
      <c r="I58" s="65" t="s">
        <v>187</v>
      </c>
      <c r="J58" s="57" t="s">
        <v>91</v>
      </c>
      <c r="K58" s="65" t="s">
        <v>187</v>
      </c>
      <c r="L58" s="94" t="s">
        <v>91</v>
      </c>
      <c r="M58" s="82"/>
      <c r="N58" s="82"/>
      <c r="O58" s="82"/>
      <c r="P58" s="82"/>
      <c r="Q58" s="82"/>
      <c r="R58" s="82"/>
      <c r="S58" s="82"/>
      <c r="T58" s="82"/>
      <c r="U58" s="16"/>
      <c r="V58" s="81"/>
    </row>
    <row r="59" spans="1:22" ht="12.75">
      <c r="A59" s="654" t="s">
        <v>192</v>
      </c>
      <c r="B59" s="754"/>
      <c r="C59" s="62">
        <v>0.026</v>
      </c>
      <c r="D59" s="62">
        <v>0.066</v>
      </c>
      <c r="E59" s="62">
        <v>0.001</v>
      </c>
      <c r="F59" s="62">
        <v>0.001</v>
      </c>
      <c r="G59" s="62">
        <v>0.001</v>
      </c>
      <c r="H59" s="62">
        <v>0.001</v>
      </c>
      <c r="I59" s="62">
        <v>0.001</v>
      </c>
      <c r="J59" s="62">
        <v>0.063</v>
      </c>
      <c r="K59" s="62">
        <v>0.016</v>
      </c>
      <c r="L59" s="63">
        <v>0.049</v>
      </c>
      <c r="M59" s="100"/>
      <c r="N59" s="100"/>
      <c r="O59" s="100"/>
      <c r="P59" s="100"/>
      <c r="Q59" s="100"/>
      <c r="R59" s="100"/>
      <c r="S59" s="100"/>
      <c r="T59" s="100"/>
      <c r="U59" s="23"/>
      <c r="V59" s="81"/>
    </row>
    <row r="60" spans="1:22" ht="12.75">
      <c r="A60" s="647" t="s">
        <v>193</v>
      </c>
      <c r="B60" s="755"/>
      <c r="C60" s="36">
        <v>0.723</v>
      </c>
      <c r="D60" s="36">
        <v>0.759</v>
      </c>
      <c r="E60" s="36">
        <v>0.688</v>
      </c>
      <c r="F60" s="36">
        <v>0.963</v>
      </c>
      <c r="G60" s="36">
        <v>0.612</v>
      </c>
      <c r="H60" s="36">
        <v>0.809</v>
      </c>
      <c r="I60" s="36">
        <v>0.5</v>
      </c>
      <c r="J60" s="36">
        <v>0.813</v>
      </c>
      <c r="K60" s="36">
        <v>0.398</v>
      </c>
      <c r="L60" s="38">
        <v>0.768</v>
      </c>
      <c r="M60" s="23"/>
      <c r="N60" s="23"/>
      <c r="O60" s="23"/>
      <c r="P60" s="23"/>
      <c r="Q60" s="23"/>
      <c r="R60" s="23"/>
      <c r="S60" s="23"/>
      <c r="T60" s="23"/>
      <c r="U60" s="31"/>
      <c r="V60" s="81"/>
    </row>
    <row r="61" spans="1:22" ht="12.75">
      <c r="A61" s="647" t="s">
        <v>194</v>
      </c>
      <c r="B61" s="755"/>
      <c r="C61" s="36">
        <v>0.01</v>
      </c>
      <c r="D61" s="36">
        <v>0.013</v>
      </c>
      <c r="E61" s="36">
        <v>0.001</v>
      </c>
      <c r="F61" s="36">
        <v>0.001</v>
      </c>
      <c r="G61" s="36">
        <v>0.02</v>
      </c>
      <c r="H61" s="36">
        <v>0.029</v>
      </c>
      <c r="I61" s="36">
        <v>0.028</v>
      </c>
      <c r="J61" s="36">
        <v>0.016</v>
      </c>
      <c r="K61" s="36">
        <v>0.005</v>
      </c>
      <c r="L61" s="38">
        <v>0.061</v>
      </c>
      <c r="M61" s="23"/>
      <c r="N61" s="23"/>
      <c r="O61" s="23"/>
      <c r="P61" s="23"/>
      <c r="Q61" s="23"/>
      <c r="R61" s="23"/>
      <c r="S61" s="23"/>
      <c r="T61" s="23"/>
      <c r="U61" s="81"/>
      <c r="V61" s="81"/>
    </row>
    <row r="62" spans="1:22" ht="13.5" thickBot="1">
      <c r="A62" s="61" t="s">
        <v>195</v>
      </c>
      <c r="B62" s="61"/>
      <c r="C62" s="40">
        <v>0.241</v>
      </c>
      <c r="D62" s="40">
        <v>0.162</v>
      </c>
      <c r="E62" s="40">
        <v>0.31</v>
      </c>
      <c r="F62" s="40">
        <v>0.035</v>
      </c>
      <c r="G62" s="40">
        <v>0.367</v>
      </c>
      <c r="H62" s="40">
        <v>0.161</v>
      </c>
      <c r="I62" s="40">
        <v>0.471</v>
      </c>
      <c r="J62" s="40">
        <v>0.108</v>
      </c>
      <c r="K62" s="40">
        <v>0.581</v>
      </c>
      <c r="L62" s="60">
        <v>0.122</v>
      </c>
      <c r="M62" s="23"/>
      <c r="N62" s="23"/>
      <c r="O62" s="23"/>
      <c r="P62" s="23"/>
      <c r="Q62" s="23"/>
      <c r="R62" s="23"/>
      <c r="S62" s="23"/>
      <c r="T62" s="23"/>
      <c r="U62" s="20"/>
      <c r="V62" s="81"/>
    </row>
    <row r="63" spans="1:22" ht="12.75">
      <c r="A63" s="95" t="s">
        <v>188</v>
      </c>
      <c r="B63" s="55"/>
      <c r="C63" s="76"/>
      <c r="D63" s="76"/>
      <c r="E63" s="76"/>
      <c r="F63" s="76"/>
      <c r="G63" s="76"/>
      <c r="H63" s="76"/>
      <c r="I63" s="76"/>
      <c r="J63" s="76"/>
      <c r="K63" s="76"/>
      <c r="L63" s="77"/>
      <c r="M63" s="23"/>
      <c r="N63" s="23"/>
      <c r="O63" s="23"/>
      <c r="P63" s="23"/>
      <c r="Q63" s="23"/>
      <c r="R63" s="23"/>
      <c r="S63" s="23"/>
      <c r="T63" s="23"/>
      <c r="U63" s="16"/>
      <c r="V63" s="81"/>
    </row>
    <row r="64" spans="1:22" ht="12.75">
      <c r="A64" s="655" t="s">
        <v>46</v>
      </c>
      <c r="B64" s="656"/>
      <c r="C64" s="661" t="s">
        <v>45</v>
      </c>
      <c r="D64" s="645"/>
      <c r="E64" s="645"/>
      <c r="F64" s="645"/>
      <c r="G64" s="645"/>
      <c r="H64" s="645"/>
      <c r="I64" s="645"/>
      <c r="J64" s="645"/>
      <c r="K64" s="645"/>
      <c r="L64" s="646"/>
      <c r="M64" s="15"/>
      <c r="N64" s="16"/>
      <c r="O64" s="16"/>
      <c r="P64" s="16"/>
      <c r="Q64" s="16"/>
      <c r="R64" s="16"/>
      <c r="S64" s="16"/>
      <c r="T64" s="16"/>
      <c r="U64" s="16"/>
      <c r="V64" s="81"/>
    </row>
    <row r="65" spans="1:22" ht="12.75">
      <c r="A65" s="664"/>
      <c r="B65" s="665"/>
      <c r="C65" s="662" t="s">
        <v>128</v>
      </c>
      <c r="D65" s="662"/>
      <c r="E65" s="661" t="s">
        <v>127</v>
      </c>
      <c r="F65" s="662"/>
      <c r="G65" s="661" t="s">
        <v>98</v>
      </c>
      <c r="H65" s="662"/>
      <c r="I65" s="661" t="s">
        <v>101</v>
      </c>
      <c r="J65" s="661"/>
      <c r="K65" s="661" t="s">
        <v>141</v>
      </c>
      <c r="L65" s="659"/>
      <c r="M65" s="68"/>
      <c r="N65" s="32"/>
      <c r="O65" s="32"/>
      <c r="P65" s="32"/>
      <c r="Q65" s="32"/>
      <c r="R65" s="32"/>
      <c r="S65" s="32"/>
      <c r="T65" s="32"/>
      <c r="U65" s="85"/>
      <c r="V65" s="81"/>
    </row>
    <row r="66" spans="1:22" ht="12.75">
      <c r="A66" s="666"/>
      <c r="B66" s="667"/>
      <c r="C66" s="65" t="s">
        <v>187</v>
      </c>
      <c r="D66" s="57" t="s">
        <v>91</v>
      </c>
      <c r="E66" s="65" t="s">
        <v>187</v>
      </c>
      <c r="F66" s="57" t="s">
        <v>91</v>
      </c>
      <c r="G66" s="65" t="s">
        <v>187</v>
      </c>
      <c r="H66" s="57" t="s">
        <v>91</v>
      </c>
      <c r="I66" s="65" t="s">
        <v>187</v>
      </c>
      <c r="J66" s="57" t="s">
        <v>91</v>
      </c>
      <c r="K66" s="65" t="s">
        <v>187</v>
      </c>
      <c r="L66" s="94" t="s">
        <v>91</v>
      </c>
      <c r="M66" s="82"/>
      <c r="N66" s="82"/>
      <c r="O66" s="82"/>
      <c r="P66" s="82"/>
      <c r="Q66" s="82"/>
      <c r="R66" s="82"/>
      <c r="S66" s="82"/>
      <c r="T66" s="82"/>
      <c r="U66" s="16"/>
      <c r="V66" s="81"/>
    </row>
    <row r="67" spans="1:22" ht="12.75">
      <c r="A67" s="654" t="s">
        <v>192</v>
      </c>
      <c r="B67" s="663"/>
      <c r="C67" s="420">
        <v>0.52</v>
      </c>
      <c r="D67" s="420">
        <v>0.12</v>
      </c>
      <c r="E67" s="420"/>
      <c r="F67" s="420"/>
      <c r="G67" s="420">
        <v>0.55</v>
      </c>
      <c r="H67" s="420"/>
      <c r="I67" s="420"/>
      <c r="J67" s="420"/>
      <c r="K67" s="420"/>
      <c r="L67" s="421"/>
      <c r="M67" s="101"/>
      <c r="N67" s="101"/>
      <c r="O67" s="101"/>
      <c r="P67" s="101"/>
      <c r="Q67" s="101"/>
      <c r="R67" s="101"/>
      <c r="S67" s="101"/>
      <c r="T67" s="101"/>
      <c r="U67" s="16"/>
      <c r="V67" s="81"/>
    </row>
    <row r="68" spans="1:22" ht="12.75">
      <c r="A68" s="647" t="s">
        <v>193</v>
      </c>
      <c r="B68" s="663"/>
      <c r="C68" s="422">
        <v>0.53</v>
      </c>
      <c r="D68" s="422">
        <v>0.13</v>
      </c>
      <c r="E68" s="422"/>
      <c r="F68" s="422"/>
      <c r="G68" s="422">
        <v>0.45</v>
      </c>
      <c r="H68" s="422"/>
      <c r="I68" s="422"/>
      <c r="J68" s="422"/>
      <c r="K68" s="422"/>
      <c r="L68" s="423"/>
      <c r="M68" s="34"/>
      <c r="N68" s="34"/>
      <c r="O68" s="34"/>
      <c r="P68" s="34"/>
      <c r="Q68" s="34"/>
      <c r="R68" s="34"/>
      <c r="S68" s="34"/>
      <c r="T68" s="34"/>
      <c r="U68" s="86"/>
      <c r="V68" s="81"/>
    </row>
    <row r="69" spans="1:22" ht="12.75">
      <c r="A69" s="647" t="s">
        <v>194</v>
      </c>
      <c r="B69" s="663"/>
      <c r="C69" s="422">
        <v>0.54</v>
      </c>
      <c r="D69" s="422">
        <v>0.14</v>
      </c>
      <c r="E69" s="422"/>
      <c r="F69" s="422"/>
      <c r="G69" s="422">
        <v>0.35</v>
      </c>
      <c r="H69" s="422"/>
      <c r="I69" s="422"/>
      <c r="J69" s="422"/>
      <c r="K69" s="422"/>
      <c r="L69" s="423"/>
      <c r="M69" s="34"/>
      <c r="N69" s="34"/>
      <c r="O69" s="34"/>
      <c r="P69" s="34"/>
      <c r="Q69" s="34"/>
      <c r="R69" s="34"/>
      <c r="S69" s="34"/>
      <c r="T69" s="34"/>
      <c r="U69" s="16"/>
      <c r="V69" s="81"/>
    </row>
    <row r="70" spans="1:22" ht="13.5" thickBot="1">
      <c r="A70" s="681" t="s">
        <v>195</v>
      </c>
      <c r="B70" s="753"/>
      <c r="C70" s="424">
        <v>0.55</v>
      </c>
      <c r="D70" s="424">
        <v>0.15</v>
      </c>
      <c r="E70" s="424"/>
      <c r="F70" s="424"/>
      <c r="G70" s="424">
        <v>0.25</v>
      </c>
      <c r="H70" s="424"/>
      <c r="I70" s="424"/>
      <c r="J70" s="424"/>
      <c r="K70" s="424"/>
      <c r="L70" s="425"/>
      <c r="M70" s="34"/>
      <c r="N70" s="34"/>
      <c r="O70" s="34"/>
      <c r="P70" s="34"/>
      <c r="Q70" s="34"/>
      <c r="R70" s="34"/>
      <c r="S70" s="34"/>
      <c r="T70" s="34"/>
      <c r="U70" s="23"/>
      <c r="V70" s="81"/>
    </row>
    <row r="71" spans="1:22" ht="12.75">
      <c r="A71" s="39"/>
      <c r="B71" s="20"/>
      <c r="C71" s="20"/>
      <c r="D71" s="20"/>
      <c r="E71" s="81"/>
      <c r="F71" s="81"/>
      <c r="G71" s="81"/>
      <c r="H71" s="81"/>
      <c r="I71" s="81"/>
      <c r="J71" s="81"/>
      <c r="K71" s="81"/>
      <c r="L71" s="81"/>
      <c r="M71" s="81"/>
      <c r="N71" s="81"/>
      <c r="O71" s="81"/>
      <c r="P71" s="81"/>
      <c r="Q71" s="81"/>
      <c r="R71" s="81"/>
      <c r="S71" s="81"/>
      <c r="T71" s="81"/>
      <c r="U71" s="16"/>
      <c r="V71" s="81"/>
    </row>
    <row r="72" spans="1:22" ht="12.75">
      <c r="A72" s="39"/>
      <c r="B72" s="20"/>
      <c r="C72" s="20"/>
      <c r="D72" s="20"/>
      <c r="E72" s="81"/>
      <c r="F72" s="81"/>
      <c r="G72" s="81"/>
      <c r="H72" s="81"/>
      <c r="I72" s="81"/>
      <c r="J72" s="81"/>
      <c r="K72" s="81"/>
      <c r="L72" s="81"/>
      <c r="M72" s="81"/>
      <c r="N72" s="81"/>
      <c r="O72" s="81"/>
      <c r="P72" s="81"/>
      <c r="Q72" s="81"/>
      <c r="R72" s="81"/>
      <c r="S72" s="81"/>
      <c r="T72" s="81"/>
      <c r="U72" s="16"/>
      <c r="V72" s="81"/>
    </row>
    <row r="73" spans="1:22" ht="13.5" thickBot="1">
      <c r="A73" s="39"/>
      <c r="B73" s="20"/>
      <c r="C73" s="20"/>
      <c r="D73" s="20"/>
      <c r="E73" s="6"/>
      <c r="F73" s="6"/>
      <c r="G73" s="6"/>
      <c r="H73" s="6"/>
      <c r="I73" s="6"/>
      <c r="J73" s="6"/>
      <c r="K73" s="6"/>
      <c r="L73" s="6"/>
      <c r="M73" s="6"/>
      <c r="N73" s="6"/>
      <c r="O73" s="81"/>
      <c r="P73" s="81"/>
      <c r="Q73" s="81"/>
      <c r="R73" s="81"/>
      <c r="S73" s="81"/>
      <c r="T73" s="81"/>
      <c r="U73" s="16"/>
      <c r="V73" s="81"/>
    </row>
    <row r="74" spans="1:22" ht="13.5" thickTop="1">
      <c r="A74" s="671" t="s">
        <v>373</v>
      </c>
      <c r="B74" s="713"/>
      <c r="C74" s="713"/>
      <c r="D74" s="713"/>
      <c r="E74" s="713"/>
      <c r="F74" s="713"/>
      <c r="G74" s="713"/>
      <c r="H74" s="713"/>
      <c r="I74" s="713"/>
      <c r="J74" s="713"/>
      <c r="K74" s="98"/>
      <c r="L74" s="11"/>
      <c r="M74" s="11"/>
      <c r="N74" s="20"/>
      <c r="O74" s="20"/>
      <c r="P74" s="20"/>
      <c r="Q74" s="20"/>
      <c r="R74" s="20"/>
      <c r="S74" s="20"/>
      <c r="T74" s="20"/>
      <c r="U74" s="16"/>
      <c r="V74" s="81"/>
    </row>
    <row r="75" spans="1:22" ht="13.5" thickBot="1">
      <c r="A75" s="714"/>
      <c r="B75" s="714"/>
      <c r="C75" s="714"/>
      <c r="D75" s="714"/>
      <c r="E75" s="714"/>
      <c r="F75" s="714"/>
      <c r="G75" s="714"/>
      <c r="H75" s="714"/>
      <c r="I75" s="714"/>
      <c r="J75" s="714"/>
      <c r="K75" s="98"/>
      <c r="L75" s="11"/>
      <c r="M75" s="11"/>
      <c r="N75" s="20"/>
      <c r="O75" s="20"/>
      <c r="P75" s="20"/>
      <c r="Q75" s="20"/>
      <c r="R75" s="20"/>
      <c r="S75" s="20"/>
      <c r="T75" s="20"/>
      <c r="U75" s="16"/>
      <c r="V75" s="81"/>
    </row>
    <row r="76" spans="1:22" ht="14.25">
      <c r="A76" s="683" t="s">
        <v>66</v>
      </c>
      <c r="B76" s="685" t="s">
        <v>65</v>
      </c>
      <c r="C76" s="768" t="s">
        <v>251</v>
      </c>
      <c r="D76" s="769"/>
      <c r="E76" s="769"/>
      <c r="F76" s="769"/>
      <c r="G76" s="769"/>
      <c r="H76" s="769"/>
      <c r="I76" s="769"/>
      <c r="J76" s="828"/>
      <c r="K76" s="16"/>
      <c r="L76" s="16"/>
      <c r="M76" s="16"/>
      <c r="N76" s="16"/>
      <c r="O76" s="16"/>
      <c r="P76" s="16"/>
      <c r="Q76" s="16"/>
      <c r="R76" s="16"/>
      <c r="S76" s="16"/>
      <c r="T76" s="16"/>
      <c r="U76" s="16"/>
      <c r="V76" s="81"/>
    </row>
    <row r="77" spans="1:22" ht="12.75">
      <c r="A77" s="835"/>
      <c r="B77" s="836"/>
      <c r="C77" s="800" t="s">
        <v>44</v>
      </c>
      <c r="D77" s="837"/>
      <c r="E77" s="837"/>
      <c r="F77" s="837"/>
      <c r="G77" s="661" t="s">
        <v>45</v>
      </c>
      <c r="H77" s="645"/>
      <c r="I77" s="645"/>
      <c r="J77" s="646"/>
      <c r="K77" s="16"/>
      <c r="L77" s="16"/>
      <c r="M77" s="16"/>
      <c r="N77" s="16"/>
      <c r="O77" s="16"/>
      <c r="P77" s="16"/>
      <c r="Q77" s="16"/>
      <c r="R77" s="16"/>
      <c r="S77" s="16"/>
      <c r="T77" s="16"/>
      <c r="U77" s="16"/>
      <c r="V77" s="81"/>
    </row>
    <row r="78" spans="1:22" ht="12.75">
      <c r="A78" s="744" t="s">
        <v>175</v>
      </c>
      <c r="B78" s="745"/>
      <c r="C78" s="661" t="s">
        <v>248</v>
      </c>
      <c r="D78" s="662"/>
      <c r="E78" s="661" t="s">
        <v>249</v>
      </c>
      <c r="F78" s="662"/>
      <c r="G78" s="661" t="s">
        <v>248</v>
      </c>
      <c r="H78" s="662"/>
      <c r="I78" s="661" t="s">
        <v>249</v>
      </c>
      <c r="J78" s="659"/>
      <c r="K78" s="16"/>
      <c r="L78" s="16"/>
      <c r="M78" s="16"/>
      <c r="N78" s="16"/>
      <c r="O78" s="16"/>
      <c r="P78" s="16"/>
      <c r="Q78" s="16"/>
      <c r="R78" s="16"/>
      <c r="S78" s="16"/>
      <c r="T78" s="16"/>
      <c r="U78" s="16"/>
      <c r="V78" s="81"/>
    </row>
    <row r="79" spans="1:22" ht="12.75">
      <c r="A79" s="644" t="s">
        <v>128</v>
      </c>
      <c r="B79" s="746"/>
      <c r="C79" s="830">
        <v>0.036</v>
      </c>
      <c r="D79" s="831"/>
      <c r="E79" s="830">
        <v>0.005</v>
      </c>
      <c r="F79" s="831"/>
      <c r="G79" s="694">
        <v>0.041</v>
      </c>
      <c r="H79" s="832"/>
      <c r="I79" s="694">
        <v>0.061</v>
      </c>
      <c r="J79" s="829"/>
      <c r="K79" s="23"/>
      <c r="L79" s="23"/>
      <c r="M79" s="23"/>
      <c r="N79" s="23"/>
      <c r="O79" s="23"/>
      <c r="P79" s="23"/>
      <c r="Q79" s="23"/>
      <c r="R79" s="23"/>
      <c r="S79" s="23"/>
      <c r="T79" s="23"/>
      <c r="U79" s="23"/>
      <c r="V79" s="81"/>
    </row>
    <row r="80" spans="1:22" ht="12.75">
      <c r="A80" s="644" t="s">
        <v>127</v>
      </c>
      <c r="B80" s="746"/>
      <c r="C80" s="830">
        <v>0.041</v>
      </c>
      <c r="D80" s="831"/>
      <c r="E80" s="826">
        <v>0.013</v>
      </c>
      <c r="F80" s="827"/>
      <c r="G80" s="694">
        <v>0.042</v>
      </c>
      <c r="H80" s="832"/>
      <c r="I80" s="694">
        <v>0.062</v>
      </c>
      <c r="J80" s="829"/>
      <c r="K80" s="23"/>
      <c r="L80" s="23"/>
      <c r="M80" s="23"/>
      <c r="N80" s="23"/>
      <c r="O80" s="23"/>
      <c r="P80" s="23"/>
      <c r="Q80" s="23"/>
      <c r="R80" s="23"/>
      <c r="S80" s="23"/>
      <c r="T80" s="23"/>
      <c r="U80" s="23"/>
      <c r="V80" s="81"/>
    </row>
    <row r="81" spans="1:22" ht="12.75">
      <c r="A81" s="644" t="s">
        <v>98</v>
      </c>
      <c r="B81" s="746"/>
      <c r="C81" s="830">
        <v>0.022</v>
      </c>
      <c r="D81" s="831"/>
      <c r="E81" s="826">
        <v>0.009</v>
      </c>
      <c r="F81" s="827"/>
      <c r="G81" s="694">
        <v>0.043</v>
      </c>
      <c r="H81" s="832"/>
      <c r="I81" s="694">
        <v>0.063</v>
      </c>
      <c r="J81" s="829"/>
      <c r="K81" s="23"/>
      <c r="L81" s="23"/>
      <c r="M81" s="23"/>
      <c r="N81" s="23"/>
      <c r="O81" s="23"/>
      <c r="P81" s="23"/>
      <c r="Q81" s="23"/>
      <c r="R81" s="23"/>
      <c r="S81" s="23"/>
      <c r="T81" s="23"/>
      <c r="U81" s="23"/>
      <c r="V81" s="81"/>
    </row>
    <row r="82" spans="1:22" ht="12.75">
      <c r="A82" s="833" t="s">
        <v>101</v>
      </c>
      <c r="B82" s="834"/>
      <c r="C82" s="826">
        <v>0.067</v>
      </c>
      <c r="D82" s="827"/>
      <c r="E82" s="826">
        <v>0.019</v>
      </c>
      <c r="F82" s="827"/>
      <c r="G82" s="694">
        <v>0.044</v>
      </c>
      <c r="H82" s="832"/>
      <c r="I82" s="694">
        <v>0.064</v>
      </c>
      <c r="J82" s="829"/>
      <c r="K82" s="23"/>
      <c r="L82" s="23"/>
      <c r="M82" s="23"/>
      <c r="N82" s="23"/>
      <c r="O82" s="23"/>
      <c r="P82" s="23"/>
      <c r="Q82" s="23"/>
      <c r="R82" s="23"/>
      <c r="S82" s="23"/>
      <c r="T82" s="23"/>
      <c r="U82" s="23"/>
      <c r="V82" s="81"/>
    </row>
    <row r="83" spans="1:22" ht="13.5" thickBot="1">
      <c r="A83" s="848" t="s">
        <v>141</v>
      </c>
      <c r="B83" s="849"/>
      <c r="C83" s="844">
        <v>0.03</v>
      </c>
      <c r="D83" s="708"/>
      <c r="E83" s="844">
        <v>0.023</v>
      </c>
      <c r="F83" s="708"/>
      <c r="G83" s="641">
        <v>0.045</v>
      </c>
      <c r="H83" s="850"/>
      <c r="I83" s="641">
        <v>0.065</v>
      </c>
      <c r="J83" s="847"/>
      <c r="K83" s="23"/>
      <c r="L83" s="23"/>
      <c r="M83" s="23"/>
      <c r="N83" s="23"/>
      <c r="O83" s="23"/>
      <c r="P83" s="23"/>
      <c r="Q83" s="23"/>
      <c r="R83" s="23"/>
      <c r="S83" s="23"/>
      <c r="T83" s="23"/>
      <c r="U83" s="23"/>
      <c r="V83" s="81"/>
    </row>
    <row r="84" spans="1:22" ht="12.75">
      <c r="A84" s="851" t="s">
        <v>253</v>
      </c>
      <c r="B84" s="852"/>
      <c r="C84" s="852"/>
      <c r="D84" s="852"/>
      <c r="E84" s="852"/>
      <c r="F84" s="852"/>
      <c r="G84" s="852"/>
      <c r="H84" s="852"/>
      <c r="I84" s="852"/>
      <c r="J84" s="852"/>
      <c r="K84" s="23"/>
      <c r="L84" s="23"/>
      <c r="M84" s="23"/>
      <c r="N84" s="23"/>
      <c r="O84" s="23"/>
      <c r="P84" s="23"/>
      <c r="Q84" s="23"/>
      <c r="R84" s="23"/>
      <c r="S84" s="23"/>
      <c r="T84" s="23"/>
      <c r="U84" s="23"/>
      <c r="V84" s="81"/>
    </row>
    <row r="85" spans="1:22" ht="12.75">
      <c r="A85" s="853"/>
      <c r="B85" s="853"/>
      <c r="C85" s="853"/>
      <c r="D85" s="853"/>
      <c r="E85" s="853"/>
      <c r="F85" s="853"/>
      <c r="G85" s="853"/>
      <c r="H85" s="853"/>
      <c r="I85" s="853"/>
      <c r="J85" s="853"/>
      <c r="K85" s="23"/>
      <c r="L85" s="23"/>
      <c r="M85" s="23"/>
      <c r="N85" s="23"/>
      <c r="O85" s="23"/>
      <c r="P85" s="23"/>
      <c r="Q85" s="23"/>
      <c r="R85" s="23"/>
      <c r="S85" s="23"/>
      <c r="T85" s="23"/>
      <c r="U85" s="23"/>
      <c r="V85" s="81"/>
    </row>
    <row r="86" spans="1:22" ht="12.75">
      <c r="A86" s="80"/>
      <c r="B86" s="80"/>
      <c r="C86" s="23"/>
      <c r="D86" s="23"/>
      <c r="E86" s="23"/>
      <c r="F86" s="23"/>
      <c r="G86" s="23"/>
      <c r="H86" s="23"/>
      <c r="I86" s="23"/>
      <c r="J86" s="23"/>
      <c r="K86" s="23"/>
      <c r="L86" s="23"/>
      <c r="M86" s="23"/>
      <c r="N86" s="23"/>
      <c r="O86" s="23"/>
      <c r="P86" s="23"/>
      <c r="Q86" s="23"/>
      <c r="R86" s="23"/>
      <c r="S86" s="23"/>
      <c r="T86" s="23"/>
      <c r="U86" s="23"/>
      <c r="V86" s="81"/>
    </row>
    <row r="87" spans="3:22" ht="12.75">
      <c r="C87" s="81"/>
      <c r="D87" s="81"/>
      <c r="E87" s="81"/>
      <c r="F87" s="81"/>
      <c r="G87" s="81"/>
      <c r="H87" s="81"/>
      <c r="I87" s="81"/>
      <c r="J87" s="81"/>
      <c r="K87" s="23"/>
      <c r="L87" s="23"/>
      <c r="M87" s="23"/>
      <c r="N87" s="23"/>
      <c r="O87" s="23"/>
      <c r="P87" s="23"/>
      <c r="Q87" s="23"/>
      <c r="R87" s="23"/>
      <c r="S87" s="23"/>
      <c r="T87" s="23"/>
      <c r="U87" s="23"/>
      <c r="V87" s="81"/>
    </row>
    <row r="88" spans="3:22" ht="13.5" thickBot="1">
      <c r="C88" s="81"/>
      <c r="D88" s="81"/>
      <c r="E88" s="81"/>
      <c r="F88" s="81"/>
      <c r="G88" s="81"/>
      <c r="H88" s="81"/>
      <c r="I88" s="81"/>
      <c r="J88" s="81"/>
      <c r="K88" s="23"/>
      <c r="L88" s="23"/>
      <c r="M88" s="23"/>
      <c r="N88" s="23"/>
      <c r="O88" s="23"/>
      <c r="P88" s="23"/>
      <c r="Q88" s="23"/>
      <c r="R88" s="23"/>
      <c r="S88" s="23"/>
      <c r="T88" s="23"/>
      <c r="U88" s="23"/>
      <c r="V88" s="81"/>
    </row>
    <row r="89" spans="1:22" ht="13.5" thickTop="1">
      <c r="A89" s="671" t="s">
        <v>374</v>
      </c>
      <c r="B89" s="713"/>
      <c r="C89" s="713"/>
      <c r="D89" s="713"/>
      <c r="E89" s="713"/>
      <c r="F89" s="713"/>
      <c r="G89" s="713"/>
      <c r="H89" s="713"/>
      <c r="I89" s="713"/>
      <c r="J89" s="713"/>
      <c r="K89" s="23"/>
      <c r="L89" s="23"/>
      <c r="M89" s="23"/>
      <c r="N89" s="23"/>
      <c r="O89" s="23"/>
      <c r="P89" s="23"/>
      <c r="Q89" s="23"/>
      <c r="R89" s="23"/>
      <c r="S89" s="23"/>
      <c r="T89" s="23"/>
      <c r="U89" s="23"/>
      <c r="V89" s="81"/>
    </row>
    <row r="90" spans="1:22" ht="13.5" thickBot="1">
      <c r="A90" s="714"/>
      <c r="B90" s="714"/>
      <c r="C90" s="714"/>
      <c r="D90" s="714"/>
      <c r="E90" s="714"/>
      <c r="F90" s="714"/>
      <c r="G90" s="714"/>
      <c r="H90" s="714"/>
      <c r="I90" s="714"/>
      <c r="J90" s="714"/>
      <c r="K90" s="23"/>
      <c r="L90" s="23"/>
      <c r="M90" s="23"/>
      <c r="N90" s="23"/>
      <c r="O90" s="23"/>
      <c r="P90" s="23"/>
      <c r="Q90" s="23"/>
      <c r="R90" s="23"/>
      <c r="S90" s="23"/>
      <c r="T90" s="23"/>
      <c r="U90" s="23"/>
      <c r="V90" s="81"/>
    </row>
    <row r="91" spans="1:22" ht="14.25">
      <c r="A91" s="683" t="s">
        <v>66</v>
      </c>
      <c r="B91" s="685" t="s">
        <v>65</v>
      </c>
      <c r="C91" s="768" t="s">
        <v>252</v>
      </c>
      <c r="D91" s="769"/>
      <c r="E91" s="769"/>
      <c r="F91" s="769"/>
      <c r="G91" s="769"/>
      <c r="H91" s="769"/>
      <c r="I91" s="769"/>
      <c r="J91" s="828"/>
      <c r="K91" s="23"/>
      <c r="L91" s="23"/>
      <c r="M91" s="23"/>
      <c r="N91" s="23"/>
      <c r="O91" s="23"/>
      <c r="P91" s="23"/>
      <c r="Q91" s="23"/>
      <c r="R91" s="23"/>
      <c r="S91" s="23"/>
      <c r="T91" s="23"/>
      <c r="U91" s="23"/>
      <c r="V91" s="81"/>
    </row>
    <row r="92" spans="1:22" ht="12.75">
      <c r="A92" s="835"/>
      <c r="B92" s="836"/>
      <c r="C92" s="800" t="s">
        <v>44</v>
      </c>
      <c r="D92" s="837"/>
      <c r="E92" s="837"/>
      <c r="F92" s="837"/>
      <c r="G92" s="661" t="s">
        <v>45</v>
      </c>
      <c r="H92" s="645"/>
      <c r="I92" s="645"/>
      <c r="J92" s="646"/>
      <c r="K92" s="23"/>
      <c r="L92" s="23"/>
      <c r="M92" s="23"/>
      <c r="N92" s="23"/>
      <c r="O92" s="23"/>
      <c r="P92" s="23"/>
      <c r="Q92" s="23"/>
      <c r="R92" s="23"/>
      <c r="S92" s="23"/>
      <c r="T92" s="23"/>
      <c r="U92" s="23"/>
      <c r="V92" s="81"/>
    </row>
    <row r="93" spans="1:22" ht="12.75">
      <c r="A93" s="744" t="s">
        <v>175</v>
      </c>
      <c r="B93" s="745"/>
      <c r="C93" s="661" t="s">
        <v>248</v>
      </c>
      <c r="D93" s="662"/>
      <c r="E93" s="661" t="s">
        <v>249</v>
      </c>
      <c r="F93" s="662"/>
      <c r="G93" s="661" t="s">
        <v>248</v>
      </c>
      <c r="H93" s="662"/>
      <c r="I93" s="661" t="s">
        <v>249</v>
      </c>
      <c r="J93" s="659"/>
      <c r="K93" s="23"/>
      <c r="L93" s="23"/>
      <c r="M93" s="23"/>
      <c r="N93" s="23"/>
      <c r="O93" s="23"/>
      <c r="P93" s="23"/>
      <c r="Q93" s="23"/>
      <c r="R93" s="23"/>
      <c r="S93" s="23"/>
      <c r="T93" s="23"/>
      <c r="U93" s="23"/>
      <c r="V93" s="81"/>
    </row>
    <row r="94" spans="1:22" ht="12.75">
      <c r="A94" s="644" t="s">
        <v>128</v>
      </c>
      <c r="B94" s="746"/>
      <c r="C94" s="830">
        <v>0.018</v>
      </c>
      <c r="D94" s="831"/>
      <c r="E94" s="830">
        <v>0.004</v>
      </c>
      <c r="F94" s="831"/>
      <c r="G94" s="843">
        <v>0.021</v>
      </c>
      <c r="H94" s="832"/>
      <c r="I94" s="694">
        <v>0.031</v>
      </c>
      <c r="J94" s="829"/>
      <c r="K94" s="23"/>
      <c r="L94" s="23"/>
      <c r="M94" s="23"/>
      <c r="N94" s="23"/>
      <c r="O94" s="23"/>
      <c r="P94" s="23"/>
      <c r="Q94" s="23"/>
      <c r="R94" s="23"/>
      <c r="S94" s="23"/>
      <c r="T94" s="23"/>
      <c r="U94" s="23"/>
      <c r="V94" s="81"/>
    </row>
    <row r="95" spans="1:22" ht="12.75">
      <c r="A95" s="644" t="s">
        <v>127</v>
      </c>
      <c r="B95" s="746"/>
      <c r="C95" s="830">
        <v>0.027</v>
      </c>
      <c r="D95" s="831"/>
      <c r="E95" s="826">
        <v>0.007</v>
      </c>
      <c r="F95" s="827"/>
      <c r="G95" s="694">
        <v>0.022</v>
      </c>
      <c r="H95" s="832"/>
      <c r="I95" s="694">
        <v>0.032</v>
      </c>
      <c r="J95" s="829"/>
      <c r="K95" s="23"/>
      <c r="L95" s="23"/>
      <c r="M95" s="23"/>
      <c r="N95" s="23"/>
      <c r="O95" s="23"/>
      <c r="P95" s="23"/>
      <c r="Q95" s="23"/>
      <c r="R95" s="23"/>
      <c r="S95" s="23"/>
      <c r="T95" s="23"/>
      <c r="U95" s="23"/>
      <c r="V95" s="81"/>
    </row>
    <row r="96" spans="1:22" ht="12.75">
      <c r="A96" s="644" t="s">
        <v>98</v>
      </c>
      <c r="B96" s="746"/>
      <c r="C96" s="830">
        <v>0.011</v>
      </c>
      <c r="D96" s="831"/>
      <c r="E96" s="826">
        <v>0.002</v>
      </c>
      <c r="F96" s="827"/>
      <c r="G96" s="694">
        <v>0.023</v>
      </c>
      <c r="H96" s="832"/>
      <c r="I96" s="694">
        <v>0.033</v>
      </c>
      <c r="J96" s="829"/>
      <c r="K96" s="23"/>
      <c r="L96" s="23"/>
      <c r="M96" s="23"/>
      <c r="N96" s="23"/>
      <c r="O96" s="23"/>
      <c r="P96" s="23"/>
      <c r="Q96" s="23"/>
      <c r="R96" s="23"/>
      <c r="S96" s="23"/>
      <c r="T96" s="23"/>
      <c r="U96" s="23"/>
      <c r="V96" s="81"/>
    </row>
    <row r="97" spans="1:22" ht="12.75">
      <c r="A97" s="833" t="s">
        <v>101</v>
      </c>
      <c r="B97" s="834"/>
      <c r="C97" s="826">
        <v>0.013</v>
      </c>
      <c r="D97" s="827"/>
      <c r="E97" s="826">
        <v>0.005</v>
      </c>
      <c r="F97" s="827"/>
      <c r="G97" s="694">
        <v>0.024</v>
      </c>
      <c r="H97" s="832"/>
      <c r="I97" s="694">
        <v>0.034</v>
      </c>
      <c r="J97" s="829"/>
      <c r="K97" s="23"/>
      <c r="L97" s="23"/>
      <c r="M97" s="23"/>
      <c r="N97" s="23"/>
      <c r="O97" s="23"/>
      <c r="P97" s="23"/>
      <c r="Q97" s="23"/>
      <c r="R97" s="23"/>
      <c r="S97" s="23"/>
      <c r="T97" s="23"/>
      <c r="U97" s="23"/>
      <c r="V97" s="81"/>
    </row>
    <row r="98" spans="1:22" ht="13.5" thickBot="1">
      <c r="A98" s="848" t="s">
        <v>141</v>
      </c>
      <c r="B98" s="849"/>
      <c r="C98" s="844">
        <v>0.05</v>
      </c>
      <c r="D98" s="708"/>
      <c r="E98" s="844">
        <v>0.012</v>
      </c>
      <c r="F98" s="708"/>
      <c r="G98" s="641">
        <v>0.025</v>
      </c>
      <c r="H98" s="850"/>
      <c r="I98" s="641">
        <v>0.035</v>
      </c>
      <c r="J98" s="847"/>
      <c r="K98" s="23"/>
      <c r="L98" s="23"/>
      <c r="M98" s="23"/>
      <c r="N98" s="23"/>
      <c r="O98" s="23"/>
      <c r="P98" s="23"/>
      <c r="Q98" s="23"/>
      <c r="R98" s="23"/>
      <c r="S98" s="23"/>
      <c r="T98" s="23"/>
      <c r="U98" s="23"/>
      <c r="V98" s="81"/>
    </row>
    <row r="99" spans="1:22" ht="12.75">
      <c r="A99" s="851" t="s">
        <v>254</v>
      </c>
      <c r="B99" s="852"/>
      <c r="C99" s="852"/>
      <c r="D99" s="852"/>
      <c r="E99" s="852"/>
      <c r="F99" s="852"/>
      <c r="G99" s="852"/>
      <c r="H99" s="852"/>
      <c r="I99" s="852"/>
      <c r="J99" s="852"/>
      <c r="K99" s="23"/>
      <c r="L99" s="23"/>
      <c r="M99" s="23"/>
      <c r="N99" s="23"/>
      <c r="O99" s="23"/>
      <c r="P99" s="23"/>
      <c r="Q99" s="23"/>
      <c r="R99" s="23"/>
      <c r="S99" s="23"/>
      <c r="T99" s="23"/>
      <c r="U99" s="23"/>
      <c r="V99" s="81"/>
    </row>
    <row r="100" spans="1:22" ht="12.75">
      <c r="A100" s="853"/>
      <c r="B100" s="853"/>
      <c r="C100" s="853"/>
      <c r="D100" s="853"/>
      <c r="E100" s="853"/>
      <c r="F100" s="853"/>
      <c r="G100" s="853"/>
      <c r="H100" s="853"/>
      <c r="I100" s="853"/>
      <c r="J100" s="853"/>
      <c r="K100" s="23"/>
      <c r="L100" s="23"/>
      <c r="M100" s="23"/>
      <c r="N100" s="23"/>
      <c r="O100" s="23"/>
      <c r="P100" s="23"/>
      <c r="Q100" s="23"/>
      <c r="R100" s="23"/>
      <c r="S100" s="23"/>
      <c r="T100" s="23"/>
      <c r="U100" s="23"/>
      <c r="V100" s="81"/>
    </row>
    <row r="101" spans="3:22" ht="12.75">
      <c r="C101" s="81"/>
      <c r="D101" s="81"/>
      <c r="E101" s="81"/>
      <c r="F101" s="81"/>
      <c r="G101" s="81"/>
      <c r="H101" s="81"/>
      <c r="I101" s="81"/>
      <c r="J101" s="81"/>
      <c r="K101" s="23"/>
      <c r="L101" s="23"/>
      <c r="M101" s="23"/>
      <c r="N101" s="23"/>
      <c r="O101" s="23"/>
      <c r="P101" s="23"/>
      <c r="Q101" s="23"/>
      <c r="R101" s="23"/>
      <c r="S101" s="23"/>
      <c r="T101" s="23"/>
      <c r="U101" s="23"/>
      <c r="V101" s="81"/>
    </row>
    <row r="102" spans="3:22" ht="12.75">
      <c r="C102" s="81"/>
      <c r="D102" s="81"/>
      <c r="E102" s="81"/>
      <c r="F102" s="81"/>
      <c r="G102" s="81"/>
      <c r="H102" s="81"/>
      <c r="I102" s="81"/>
      <c r="J102" s="81"/>
      <c r="K102" s="23"/>
      <c r="L102" s="23"/>
      <c r="M102" s="23"/>
      <c r="N102" s="23"/>
      <c r="O102" s="23"/>
      <c r="P102" s="23"/>
      <c r="Q102" s="23"/>
      <c r="R102" s="23"/>
      <c r="S102" s="23"/>
      <c r="T102" s="23"/>
      <c r="U102" s="23"/>
      <c r="V102" s="81"/>
    </row>
    <row r="103" spans="1:22" ht="13.5" thickBot="1">
      <c r="A103" s="16"/>
      <c r="B103" s="16"/>
      <c r="C103" s="16"/>
      <c r="D103" s="16"/>
      <c r="E103" s="16"/>
      <c r="F103" s="16"/>
      <c r="G103" s="16"/>
      <c r="H103" s="81"/>
      <c r="I103" s="81"/>
      <c r="J103" s="81"/>
      <c r="K103" s="23"/>
      <c r="L103" s="23"/>
      <c r="M103" s="23"/>
      <c r="N103" s="23"/>
      <c r="O103" s="23"/>
      <c r="P103" s="23"/>
      <c r="Q103" s="23"/>
      <c r="R103" s="23"/>
      <c r="S103" s="23"/>
      <c r="T103" s="23"/>
      <c r="U103" s="23"/>
      <c r="V103" s="81"/>
    </row>
    <row r="104" spans="1:22" ht="13.5" thickTop="1">
      <c r="A104" s="749" t="s">
        <v>384</v>
      </c>
      <c r="B104" s="750"/>
      <c r="C104" s="750"/>
      <c r="D104" s="750"/>
      <c r="E104" s="750"/>
      <c r="F104" s="750"/>
      <c r="G104" s="750"/>
      <c r="H104" s="81"/>
      <c r="I104" s="81"/>
      <c r="J104" s="81"/>
      <c r="K104" s="23"/>
      <c r="L104" s="23"/>
      <c r="M104" s="23"/>
      <c r="N104" s="23"/>
      <c r="O104" s="23"/>
      <c r="P104" s="23"/>
      <c r="Q104" s="23"/>
      <c r="R104" s="23"/>
      <c r="S104" s="23"/>
      <c r="T104" s="23"/>
      <c r="U104" s="23"/>
      <c r="V104" s="81"/>
    </row>
    <row r="105" spans="1:22" ht="13.5" thickBot="1">
      <c r="A105" s="650"/>
      <c r="B105" s="650"/>
      <c r="C105" s="650"/>
      <c r="D105" s="650"/>
      <c r="E105" s="650"/>
      <c r="F105" s="650"/>
      <c r="G105" s="650"/>
      <c r="H105" s="81"/>
      <c r="I105" s="81"/>
      <c r="J105" s="81"/>
      <c r="K105" s="31"/>
      <c r="L105" s="31"/>
      <c r="M105" s="31"/>
      <c r="N105" s="31"/>
      <c r="O105" s="31"/>
      <c r="P105" s="31"/>
      <c r="Q105" s="31"/>
      <c r="R105" s="31"/>
      <c r="S105" s="31"/>
      <c r="T105" s="31"/>
      <c r="U105" s="31"/>
      <c r="V105" s="81"/>
    </row>
    <row r="106" spans="1:22" ht="12.75">
      <c r="A106" s="845" t="s">
        <v>140</v>
      </c>
      <c r="B106" s="846"/>
      <c r="C106" s="846"/>
      <c r="D106" s="751" t="s">
        <v>44</v>
      </c>
      <c r="E106" s="752"/>
      <c r="F106" s="687" t="s">
        <v>45</v>
      </c>
      <c r="G106" s="688"/>
      <c r="H106" s="81"/>
      <c r="I106" s="81"/>
      <c r="J106" s="81"/>
      <c r="K106" s="20"/>
      <c r="L106" s="20"/>
      <c r="M106" s="20"/>
      <c r="N106" s="20"/>
      <c r="O106" s="20"/>
      <c r="P106" s="20"/>
      <c r="Q106" s="20"/>
      <c r="R106" s="20"/>
      <c r="S106" s="20"/>
      <c r="T106" s="20"/>
      <c r="U106" s="20"/>
      <c r="V106" s="81"/>
    </row>
    <row r="107" spans="1:22" ht="12.75">
      <c r="A107" s="758"/>
      <c r="B107" s="759"/>
      <c r="C107" s="759"/>
      <c r="D107" s="800" t="s">
        <v>157</v>
      </c>
      <c r="E107" s="837"/>
      <c r="F107" s="800" t="s">
        <v>157</v>
      </c>
      <c r="G107" s="803"/>
      <c r="H107" s="81"/>
      <c r="I107" s="81"/>
      <c r="J107" s="81"/>
      <c r="K107" s="20"/>
      <c r="L107" s="20"/>
      <c r="M107" s="20"/>
      <c r="N107" s="20"/>
      <c r="O107" s="20"/>
      <c r="P107" s="20"/>
      <c r="Q107" s="20"/>
      <c r="R107" s="20"/>
      <c r="S107" s="20"/>
      <c r="T107" s="20"/>
      <c r="U107" s="20"/>
      <c r="V107" s="81"/>
    </row>
    <row r="108" spans="1:22" ht="12.75">
      <c r="A108" s="736" t="s">
        <v>66</v>
      </c>
      <c r="B108" s="645"/>
      <c r="C108" s="113" t="s">
        <v>65</v>
      </c>
      <c r="D108" s="837"/>
      <c r="E108" s="837"/>
      <c r="F108" s="837"/>
      <c r="G108" s="803"/>
      <c r="H108" s="81"/>
      <c r="I108" s="81"/>
      <c r="J108" s="81"/>
      <c r="K108" s="24"/>
      <c r="L108" s="24"/>
      <c r="M108" s="24"/>
      <c r="N108" s="24"/>
      <c r="O108" s="24"/>
      <c r="P108" s="24"/>
      <c r="Q108" s="24"/>
      <c r="R108" s="24"/>
      <c r="S108" s="24"/>
      <c r="T108" s="24"/>
      <c r="U108" s="24"/>
      <c r="V108" s="81"/>
    </row>
    <row r="109" spans="1:22" ht="12.75">
      <c r="A109" s="855"/>
      <c r="B109" s="648"/>
      <c r="C109" s="663"/>
      <c r="D109" s="841"/>
      <c r="E109" s="841"/>
      <c r="F109" s="841"/>
      <c r="G109" s="842"/>
      <c r="H109" s="81"/>
      <c r="I109" s="81"/>
      <c r="J109" s="81"/>
      <c r="K109" s="16"/>
      <c r="L109" s="16"/>
      <c r="M109" s="16"/>
      <c r="N109" s="16"/>
      <c r="O109" s="16"/>
      <c r="P109" s="16"/>
      <c r="Q109" s="16"/>
      <c r="R109" s="16"/>
      <c r="S109" s="16"/>
      <c r="T109" s="16"/>
      <c r="U109" s="16"/>
      <c r="V109" s="81"/>
    </row>
    <row r="110" spans="1:22" ht="12.75">
      <c r="A110" s="736" t="s">
        <v>128</v>
      </c>
      <c r="B110" s="645"/>
      <c r="C110" s="645"/>
      <c r="D110" s="856">
        <v>0.059</v>
      </c>
      <c r="E110" s="854"/>
      <c r="F110" s="747">
        <v>0.05</v>
      </c>
      <c r="G110" s="748"/>
      <c r="H110" s="81"/>
      <c r="I110" s="81"/>
      <c r="J110" s="81"/>
      <c r="K110" s="32"/>
      <c r="L110" s="32"/>
      <c r="M110" s="32"/>
      <c r="N110" s="32"/>
      <c r="O110" s="32"/>
      <c r="P110" s="32"/>
      <c r="Q110" s="32"/>
      <c r="R110" s="32"/>
      <c r="S110" s="32"/>
      <c r="T110" s="32"/>
      <c r="U110" s="32"/>
      <c r="V110" s="81"/>
    </row>
    <row r="111" spans="1:22" ht="12.75">
      <c r="A111" s="736" t="s">
        <v>127</v>
      </c>
      <c r="B111" s="645"/>
      <c r="C111" s="645"/>
      <c r="D111" s="854">
        <v>0.034</v>
      </c>
      <c r="E111" s="854"/>
      <c r="F111" s="747">
        <v>0.06</v>
      </c>
      <c r="G111" s="748"/>
      <c r="H111" s="16"/>
      <c r="I111" s="16"/>
      <c r="J111" s="16"/>
      <c r="K111" s="16"/>
      <c r="L111" s="16"/>
      <c r="M111" s="16"/>
      <c r="N111" s="16"/>
      <c r="O111" s="16"/>
      <c r="P111" s="16"/>
      <c r="Q111" s="16"/>
      <c r="R111" s="16"/>
      <c r="S111" s="16"/>
      <c r="T111" s="16"/>
      <c r="U111" s="16"/>
      <c r="V111" s="81"/>
    </row>
    <row r="112" spans="1:22" ht="12.75">
      <c r="A112" s="736" t="s">
        <v>98</v>
      </c>
      <c r="B112" s="645"/>
      <c r="C112" s="645"/>
      <c r="D112" s="646">
        <v>0.037</v>
      </c>
      <c r="E112" s="706"/>
      <c r="F112" s="693">
        <v>0.07</v>
      </c>
      <c r="G112" s="694"/>
      <c r="H112" s="7"/>
      <c r="I112" s="7"/>
      <c r="J112" s="7"/>
      <c r="K112" s="7"/>
      <c r="L112" s="7"/>
      <c r="M112" s="7"/>
      <c r="N112" s="7"/>
      <c r="O112" s="7"/>
      <c r="P112" s="7"/>
      <c r="Q112" s="7"/>
      <c r="R112" s="7"/>
      <c r="S112" s="7"/>
      <c r="T112" s="7"/>
      <c r="U112" s="7"/>
      <c r="V112" s="81"/>
    </row>
    <row r="113" spans="1:22" ht="12.75">
      <c r="A113" s="736" t="s">
        <v>101</v>
      </c>
      <c r="B113" s="645"/>
      <c r="C113" s="645"/>
      <c r="D113" s="859">
        <v>0.036</v>
      </c>
      <c r="E113" s="645"/>
      <c r="F113" s="693">
        <v>0.08</v>
      </c>
      <c r="G113" s="694"/>
      <c r="H113" s="7"/>
      <c r="I113" s="7"/>
      <c r="J113" s="7"/>
      <c r="K113" s="7"/>
      <c r="L113" s="7"/>
      <c r="M113" s="7"/>
      <c r="N113" s="7"/>
      <c r="O113" s="7"/>
      <c r="P113" s="7"/>
      <c r="Q113" s="7"/>
      <c r="R113" s="7"/>
      <c r="S113" s="7"/>
      <c r="T113" s="7"/>
      <c r="U113" s="7"/>
      <c r="V113" s="81"/>
    </row>
    <row r="114" spans="1:22" ht="13.5" thickBot="1">
      <c r="A114" s="737" t="s">
        <v>141</v>
      </c>
      <c r="B114" s="639"/>
      <c r="C114" s="639"/>
      <c r="D114" s="810">
        <v>0.016</v>
      </c>
      <c r="E114" s="810"/>
      <c r="F114" s="811">
        <v>0.08</v>
      </c>
      <c r="G114" s="641"/>
      <c r="H114" s="7"/>
      <c r="I114" s="7"/>
      <c r="J114" s="7"/>
      <c r="K114" s="7"/>
      <c r="L114" s="7"/>
      <c r="M114" s="7"/>
      <c r="N114" s="7"/>
      <c r="O114" s="7"/>
      <c r="P114" s="7"/>
      <c r="Q114" s="7"/>
      <c r="R114" s="7"/>
      <c r="S114" s="7"/>
      <c r="T114" s="7"/>
      <c r="U114" s="7"/>
      <c r="V114" s="81"/>
    </row>
    <row r="115" spans="1:22" ht="12.75">
      <c r="A115" s="44"/>
      <c r="B115" s="45"/>
      <c r="C115" s="45"/>
      <c r="F115" s="23"/>
      <c r="G115" s="23"/>
      <c r="H115" s="7"/>
      <c r="I115" s="7"/>
      <c r="J115" s="7"/>
      <c r="K115" s="7"/>
      <c r="L115" s="7"/>
      <c r="M115" s="7"/>
      <c r="N115" s="7"/>
      <c r="O115" s="7"/>
      <c r="P115" s="7"/>
      <c r="Q115" s="7"/>
      <c r="R115" s="7"/>
      <c r="S115" s="7"/>
      <c r="T115" s="7"/>
      <c r="U115" s="7"/>
      <c r="V115" s="81"/>
    </row>
    <row r="116" spans="1:22" ht="12.75">
      <c r="A116" s="42"/>
      <c r="B116" s="42"/>
      <c r="C116" s="31"/>
      <c r="D116" s="31"/>
      <c r="E116" s="31"/>
      <c r="F116" s="31"/>
      <c r="G116" s="31"/>
      <c r="H116" s="31"/>
      <c r="I116" s="31"/>
      <c r="J116" s="31"/>
      <c r="K116" s="31"/>
      <c r="L116" s="31"/>
      <c r="M116" s="31"/>
      <c r="N116" s="31"/>
      <c r="O116" s="31"/>
      <c r="P116" s="31"/>
      <c r="Q116" s="31"/>
      <c r="R116" s="31"/>
      <c r="S116" s="31"/>
      <c r="T116" s="31"/>
      <c r="U116" s="31"/>
      <c r="V116" s="81"/>
    </row>
    <row r="117" spans="1:22" ht="13.5" thickBot="1">
      <c r="A117" s="44"/>
      <c r="B117" s="45"/>
      <c r="C117" s="45"/>
      <c r="D117" s="23"/>
      <c r="E117" s="23"/>
      <c r="F117" s="23"/>
      <c r="G117" s="23"/>
      <c r="H117" s="23"/>
      <c r="I117" s="23"/>
      <c r="J117" s="23"/>
      <c r="K117" s="23"/>
      <c r="L117" s="20"/>
      <c r="N117" s="81"/>
      <c r="O117" s="81"/>
      <c r="P117" s="81"/>
      <c r="Q117" s="81"/>
      <c r="R117" s="81"/>
      <c r="S117" s="81"/>
      <c r="T117" s="81"/>
      <c r="U117" s="81"/>
      <c r="V117" s="81"/>
    </row>
    <row r="118" spans="1:22" ht="13.5" thickTop="1">
      <c r="A118" s="857" t="s">
        <v>386</v>
      </c>
      <c r="B118" s="671"/>
      <c r="C118" s="671"/>
      <c r="D118" s="671"/>
      <c r="E118" s="671"/>
      <c r="F118" s="671"/>
      <c r="G118" s="671"/>
      <c r="H118" s="671"/>
      <c r="I118" s="671"/>
      <c r="J118" s="671"/>
      <c r="K118" s="671"/>
      <c r="L118" s="671"/>
      <c r="M118" s="671"/>
      <c r="N118" s="81"/>
      <c r="O118" s="81"/>
      <c r="P118" s="81"/>
      <c r="Q118" s="81"/>
      <c r="R118" s="81"/>
      <c r="S118" s="81"/>
      <c r="T118" s="81"/>
      <c r="U118" s="81"/>
      <c r="V118" s="81"/>
    </row>
    <row r="119" spans="1:22" ht="13.5" thickBot="1">
      <c r="A119" s="672"/>
      <c r="B119" s="672"/>
      <c r="C119" s="672"/>
      <c r="D119" s="672"/>
      <c r="E119" s="672"/>
      <c r="F119" s="672"/>
      <c r="G119" s="672"/>
      <c r="H119" s="672"/>
      <c r="I119" s="672"/>
      <c r="J119" s="672"/>
      <c r="K119" s="672"/>
      <c r="L119" s="672"/>
      <c r="M119" s="672"/>
      <c r="N119" s="81"/>
      <c r="O119" s="81"/>
      <c r="P119" s="81"/>
      <c r="Q119" s="81"/>
      <c r="R119" s="81"/>
      <c r="S119" s="81"/>
      <c r="T119" s="81"/>
      <c r="U119" s="81"/>
      <c r="V119" s="81"/>
    </row>
    <row r="120" spans="1:22" ht="12.75">
      <c r="A120" s="756" t="s">
        <v>140</v>
      </c>
      <c r="B120" s="757"/>
      <c r="C120" s="757"/>
      <c r="D120" s="768" t="s">
        <v>44</v>
      </c>
      <c r="E120" s="769"/>
      <c r="F120" s="769"/>
      <c r="G120" s="769"/>
      <c r="H120" s="769"/>
      <c r="I120" s="764" t="s">
        <v>45</v>
      </c>
      <c r="J120" s="765"/>
      <c r="K120" s="765"/>
      <c r="L120" s="765"/>
      <c r="M120" s="766"/>
      <c r="N120" s="81"/>
      <c r="O120" s="81"/>
      <c r="P120" s="81"/>
      <c r="Q120" s="81"/>
      <c r="R120" s="81"/>
      <c r="S120" s="81"/>
      <c r="T120" s="81"/>
      <c r="U120" s="81"/>
      <c r="V120" s="81"/>
    </row>
    <row r="121" spans="1:22" ht="12.75">
      <c r="A121" s="758"/>
      <c r="B121" s="759"/>
      <c r="C121" s="759"/>
      <c r="D121" s="762" t="s">
        <v>162</v>
      </c>
      <c r="E121" s="763"/>
      <c r="F121" s="763"/>
      <c r="G121" s="762" t="s">
        <v>165</v>
      </c>
      <c r="H121" s="763"/>
      <c r="I121" s="762" t="s">
        <v>162</v>
      </c>
      <c r="J121" s="763"/>
      <c r="K121" s="763"/>
      <c r="L121" s="762" t="s">
        <v>165</v>
      </c>
      <c r="M121" s="773"/>
      <c r="N121" s="81"/>
      <c r="O121" s="81"/>
      <c r="P121" s="81"/>
      <c r="Q121" s="81"/>
      <c r="R121" s="81"/>
      <c r="S121" s="81"/>
      <c r="T121" s="81"/>
      <c r="U121" s="81"/>
      <c r="V121" s="81"/>
    </row>
    <row r="122" spans="1:22" ht="12.75">
      <c r="A122" s="736" t="s">
        <v>66</v>
      </c>
      <c r="B122" s="645"/>
      <c r="C122" s="113" t="s">
        <v>65</v>
      </c>
      <c r="D122" s="763"/>
      <c r="E122" s="763"/>
      <c r="F122" s="763"/>
      <c r="G122" s="763"/>
      <c r="H122" s="763"/>
      <c r="I122" s="763"/>
      <c r="J122" s="763"/>
      <c r="K122" s="763"/>
      <c r="L122" s="763"/>
      <c r="M122" s="773"/>
      <c r="N122" s="81"/>
      <c r="O122" s="81"/>
      <c r="P122" s="81"/>
      <c r="Q122" s="81"/>
      <c r="R122" s="81"/>
      <c r="S122" s="81"/>
      <c r="T122" s="81"/>
      <c r="U122" s="81"/>
      <c r="V122" s="81"/>
    </row>
    <row r="123" spans="1:22" ht="14.25">
      <c r="A123" s="858"/>
      <c r="B123" s="745"/>
      <c r="C123" s="745"/>
      <c r="D123" s="760" t="s">
        <v>163</v>
      </c>
      <c r="E123" s="761"/>
      <c r="F123" s="75" t="s">
        <v>164</v>
      </c>
      <c r="G123" s="767" t="s">
        <v>166</v>
      </c>
      <c r="H123" s="645"/>
      <c r="I123" s="760" t="s">
        <v>163</v>
      </c>
      <c r="J123" s="761"/>
      <c r="K123" s="75" t="s">
        <v>164</v>
      </c>
      <c r="L123" s="767" t="s">
        <v>166</v>
      </c>
      <c r="M123" s="646"/>
      <c r="N123" s="81"/>
      <c r="O123" s="81"/>
      <c r="P123" s="81"/>
      <c r="Q123" s="81"/>
      <c r="R123" s="81"/>
      <c r="S123" s="81"/>
      <c r="T123" s="81"/>
      <c r="U123" s="81"/>
      <c r="V123" s="81"/>
    </row>
    <row r="124" spans="1:22" ht="12.75">
      <c r="A124" s="736" t="s">
        <v>128</v>
      </c>
      <c r="B124" s="645"/>
      <c r="C124" s="645"/>
      <c r="D124" s="738">
        <v>0.424</v>
      </c>
      <c r="E124" s="738"/>
      <c r="F124" s="2">
        <v>0.576</v>
      </c>
      <c r="G124" s="770">
        <v>0.316</v>
      </c>
      <c r="H124" s="770"/>
      <c r="I124" s="693">
        <v>0.1</v>
      </c>
      <c r="J124" s="693"/>
      <c r="K124" s="426">
        <v>0.15</v>
      </c>
      <c r="L124" s="693">
        <v>0.9</v>
      </c>
      <c r="M124" s="694"/>
      <c r="N124" s="81"/>
      <c r="O124" s="81"/>
      <c r="P124" s="81"/>
      <c r="Q124" s="81"/>
      <c r="R124" s="81"/>
      <c r="S124" s="81"/>
      <c r="T124" s="81"/>
      <c r="U124" s="81"/>
      <c r="V124" s="81"/>
    </row>
    <row r="125" spans="1:22" ht="12.75">
      <c r="A125" s="736" t="s">
        <v>127</v>
      </c>
      <c r="B125" s="645"/>
      <c r="C125" s="645"/>
      <c r="D125" s="738">
        <v>0.429</v>
      </c>
      <c r="E125" s="738"/>
      <c r="F125" s="2">
        <v>0.571</v>
      </c>
      <c r="G125" s="770">
        <v>0.304</v>
      </c>
      <c r="H125" s="770"/>
      <c r="I125" s="693">
        <v>0.2</v>
      </c>
      <c r="J125" s="693"/>
      <c r="K125" s="426">
        <v>0.25</v>
      </c>
      <c r="L125" s="693">
        <v>0.8</v>
      </c>
      <c r="M125" s="694"/>
      <c r="N125" s="81"/>
      <c r="O125" s="81"/>
      <c r="P125" s="81"/>
      <c r="Q125" s="81"/>
      <c r="R125" s="81"/>
      <c r="S125" s="81"/>
      <c r="T125" s="81"/>
      <c r="U125" s="81"/>
      <c r="V125" s="81"/>
    </row>
    <row r="126" spans="1:13" ht="12.75">
      <c r="A126" s="736" t="s">
        <v>98</v>
      </c>
      <c r="B126" s="645"/>
      <c r="C126" s="645"/>
      <c r="D126" s="645">
        <v>0.517</v>
      </c>
      <c r="E126" s="645"/>
      <c r="F126" s="56">
        <v>0.483</v>
      </c>
      <c r="G126" s="771">
        <v>0.365</v>
      </c>
      <c r="H126" s="771"/>
      <c r="I126" s="693">
        <v>0.3</v>
      </c>
      <c r="J126" s="693"/>
      <c r="K126" s="426">
        <v>0.35</v>
      </c>
      <c r="L126" s="693">
        <v>0.7</v>
      </c>
      <c r="M126" s="694"/>
    </row>
    <row r="127" spans="1:13" ht="12.75">
      <c r="A127" s="736" t="s">
        <v>101</v>
      </c>
      <c r="B127" s="645"/>
      <c r="C127" s="645"/>
      <c r="D127" s="645">
        <v>0.364</v>
      </c>
      <c r="E127" s="645"/>
      <c r="F127" s="56">
        <v>0.636</v>
      </c>
      <c r="G127" s="771">
        <v>0.41</v>
      </c>
      <c r="H127" s="771"/>
      <c r="I127" s="693">
        <v>0.4</v>
      </c>
      <c r="J127" s="693"/>
      <c r="K127" s="426">
        <v>0.45</v>
      </c>
      <c r="L127" s="693">
        <v>0.6</v>
      </c>
      <c r="M127" s="694"/>
    </row>
    <row r="128" spans="1:13" ht="13.5" thickBot="1">
      <c r="A128" s="737" t="s">
        <v>141</v>
      </c>
      <c r="B128" s="639"/>
      <c r="C128" s="639"/>
      <c r="D128" s="639">
        <v>0.432</v>
      </c>
      <c r="E128" s="639"/>
      <c r="F128" s="58">
        <v>0.568</v>
      </c>
      <c r="G128" s="772">
        <v>0.274</v>
      </c>
      <c r="H128" s="772"/>
      <c r="I128" s="640">
        <v>0.5</v>
      </c>
      <c r="J128" s="640"/>
      <c r="K128" s="427">
        <v>0.55</v>
      </c>
      <c r="L128" s="640">
        <v>0.5</v>
      </c>
      <c r="M128" s="641"/>
    </row>
  </sheetData>
  <sheetProtection password="C3AC" sheet="1" objects="1" scenarios="1"/>
  <mergeCells count="266">
    <mergeCell ref="A94:B94"/>
    <mergeCell ref="C94:D94"/>
    <mergeCell ref="E94:F94"/>
    <mergeCell ref="A99:J100"/>
    <mergeCell ref="A95:B95"/>
    <mergeCell ref="C95:D95"/>
    <mergeCell ref="E95:F95"/>
    <mergeCell ref="G95:H95"/>
    <mergeCell ref="I95:J95"/>
    <mergeCell ref="C96:D96"/>
    <mergeCell ref="E96:F96"/>
    <mergeCell ref="A98:B98"/>
    <mergeCell ref="C98:D98"/>
    <mergeCell ref="G97:H97"/>
    <mergeCell ref="I97:J97"/>
    <mergeCell ref="E98:F98"/>
    <mergeCell ref="G98:H98"/>
    <mergeCell ref="I98:J98"/>
    <mergeCell ref="A96:B96"/>
    <mergeCell ref="A97:B97"/>
    <mergeCell ref="C97:D97"/>
    <mergeCell ref="E97:F97"/>
    <mergeCell ref="A93:B93"/>
    <mergeCell ref="C93:D93"/>
    <mergeCell ref="E93:F93"/>
    <mergeCell ref="G93:H93"/>
    <mergeCell ref="B91:B92"/>
    <mergeCell ref="C91:J91"/>
    <mergeCell ref="C92:F92"/>
    <mergeCell ref="G92:J92"/>
    <mergeCell ref="I93:J93"/>
    <mergeCell ref="F113:G113"/>
    <mergeCell ref="A74:J75"/>
    <mergeCell ref="I79:J79"/>
    <mergeCell ref="G80:H80"/>
    <mergeCell ref="G81:H81"/>
    <mergeCell ref="I80:J80"/>
    <mergeCell ref="C78:D78"/>
    <mergeCell ref="A124:C124"/>
    <mergeCell ref="A125:C125"/>
    <mergeCell ref="F110:G110"/>
    <mergeCell ref="D111:E111"/>
    <mergeCell ref="A109:C109"/>
    <mergeCell ref="A114:C114"/>
    <mergeCell ref="A113:C113"/>
    <mergeCell ref="D110:E110"/>
    <mergeCell ref="A118:M119"/>
    <mergeCell ref="A123:C123"/>
    <mergeCell ref="F112:G112"/>
    <mergeCell ref="D113:E113"/>
    <mergeCell ref="I123:J123"/>
    <mergeCell ref="L123:M123"/>
    <mergeCell ref="A81:B81"/>
    <mergeCell ref="E79:F79"/>
    <mergeCell ref="E81:F81"/>
    <mergeCell ref="A76:A77"/>
    <mergeCell ref="B76:B77"/>
    <mergeCell ref="C77:F77"/>
    <mergeCell ref="W47:X47"/>
    <mergeCell ref="W48:X48"/>
    <mergeCell ref="W49:X49"/>
    <mergeCell ref="W50:X50"/>
    <mergeCell ref="W51:X51"/>
    <mergeCell ref="F107:G109"/>
    <mergeCell ref="G94:H94"/>
    <mergeCell ref="I94:J94"/>
    <mergeCell ref="E83:F83"/>
    <mergeCell ref="I82:J82"/>
    <mergeCell ref="A106:C107"/>
    <mergeCell ref="D107:E109"/>
    <mergeCell ref="G79:H79"/>
    <mergeCell ref="I83:J83"/>
    <mergeCell ref="A83:B83"/>
    <mergeCell ref="G83:H83"/>
    <mergeCell ref="C83:D83"/>
    <mergeCell ref="A84:J85"/>
    <mergeCell ref="A91:A92"/>
    <mergeCell ref="G96:H96"/>
    <mergeCell ref="I96:J96"/>
    <mergeCell ref="A45:B45"/>
    <mergeCell ref="A67:B67"/>
    <mergeCell ref="A57:B58"/>
    <mergeCell ref="C57:D57"/>
    <mergeCell ref="A61:B61"/>
    <mergeCell ref="A111:C111"/>
    <mergeCell ref="W31:Z32"/>
    <mergeCell ref="G78:H78"/>
    <mergeCell ref="G77:J77"/>
    <mergeCell ref="I78:J78"/>
    <mergeCell ref="E80:F80"/>
    <mergeCell ref="E78:F78"/>
    <mergeCell ref="C76:J76"/>
    <mergeCell ref="I81:J81"/>
    <mergeCell ref="C79:D79"/>
    <mergeCell ref="C80:D80"/>
    <mergeCell ref="C81:D81"/>
    <mergeCell ref="G82:H82"/>
    <mergeCell ref="A82:B82"/>
    <mergeCell ref="C82:D82"/>
    <mergeCell ref="A89:J90"/>
    <mergeCell ref="E82:F82"/>
    <mergeCell ref="A80:B80"/>
    <mergeCell ref="A34:B34"/>
    <mergeCell ref="A19:D19"/>
    <mergeCell ref="D114:E114"/>
    <mergeCell ref="F114:G114"/>
    <mergeCell ref="A38:B38"/>
    <mergeCell ref="A39:B39"/>
    <mergeCell ref="A37:B37"/>
    <mergeCell ref="W27:X27"/>
    <mergeCell ref="Y25:Z25"/>
    <mergeCell ref="A28:L29"/>
    <mergeCell ref="Y28:Z28"/>
    <mergeCell ref="Y26:Z26"/>
    <mergeCell ref="Y27:Z27"/>
    <mergeCell ref="W25:X25"/>
    <mergeCell ref="W26:X26"/>
    <mergeCell ref="W28:X28"/>
    <mergeCell ref="W29:Z30"/>
    <mergeCell ref="W36:Y39"/>
    <mergeCell ref="W40:X40"/>
    <mergeCell ref="W41:X41"/>
    <mergeCell ref="W42:X42"/>
    <mergeCell ref="W43:X43"/>
    <mergeCell ref="W44:X44"/>
    <mergeCell ref="W45:X45"/>
    <mergeCell ref="W46:X46"/>
    <mergeCell ref="N14:T14"/>
    <mergeCell ref="A13:D13"/>
    <mergeCell ref="N12:O12"/>
    <mergeCell ref="N13:O13"/>
    <mergeCell ref="W20:X20"/>
    <mergeCell ref="G42:H42"/>
    <mergeCell ref="I42:J42"/>
    <mergeCell ref="N4:O5"/>
    <mergeCell ref="P4:T4"/>
    <mergeCell ref="N10:O10"/>
    <mergeCell ref="N11:O11"/>
    <mergeCell ref="G13:J13"/>
    <mergeCell ref="N9:O9"/>
    <mergeCell ref="N7:O7"/>
    <mergeCell ref="N8:O8"/>
    <mergeCell ref="W18:Z19"/>
    <mergeCell ref="G19:J19"/>
    <mergeCell ref="C31:L31"/>
    <mergeCell ref="E32:F32"/>
    <mergeCell ref="N16:T16"/>
    <mergeCell ref="N18:T18"/>
    <mergeCell ref="N20:T20"/>
    <mergeCell ref="N15:O15"/>
    <mergeCell ref="N17:O17"/>
    <mergeCell ref="W2:AA3"/>
    <mergeCell ref="G7:J7"/>
    <mergeCell ref="N2:T3"/>
    <mergeCell ref="N6:T6"/>
    <mergeCell ref="A7:D7"/>
    <mergeCell ref="X4:AA4"/>
    <mergeCell ref="W4:W8"/>
    <mergeCell ref="Y6:Y8"/>
    <mergeCell ref="X6:X8"/>
    <mergeCell ref="X5:Y5"/>
    <mergeCell ref="A2:D3"/>
    <mergeCell ref="D4:D6"/>
    <mergeCell ref="A4:A6"/>
    <mergeCell ref="AA6:AA8"/>
    <mergeCell ref="Z5:AA5"/>
    <mergeCell ref="Z6:Z8"/>
    <mergeCell ref="G2:J3"/>
    <mergeCell ref="G4:G6"/>
    <mergeCell ref="J4:J6"/>
    <mergeCell ref="E42:F42"/>
    <mergeCell ref="C41:L41"/>
    <mergeCell ref="C42:D42"/>
    <mergeCell ref="Y20:Z20"/>
    <mergeCell ref="W21:X21"/>
    <mergeCell ref="Y21:Z21"/>
    <mergeCell ref="A44:B44"/>
    <mergeCell ref="K32:L32"/>
    <mergeCell ref="A30:A31"/>
    <mergeCell ref="B30:B31"/>
    <mergeCell ref="C30:L30"/>
    <mergeCell ref="G32:H32"/>
    <mergeCell ref="I32:J32"/>
    <mergeCell ref="A32:B33"/>
    <mergeCell ref="C32:D32"/>
    <mergeCell ref="A35:B35"/>
    <mergeCell ref="A36:B36"/>
    <mergeCell ref="W22:X22"/>
    <mergeCell ref="W23:X23"/>
    <mergeCell ref="Y22:Z22"/>
    <mergeCell ref="Y23:Z23"/>
    <mergeCell ref="Y24:Z24"/>
    <mergeCell ref="W24:X24"/>
    <mergeCell ref="N22:T23"/>
    <mergeCell ref="D128:E128"/>
    <mergeCell ref="I127:J127"/>
    <mergeCell ref="I126:J126"/>
    <mergeCell ref="A120:C121"/>
    <mergeCell ref="A122:B122"/>
    <mergeCell ref="D123:E123"/>
    <mergeCell ref="D121:F122"/>
    <mergeCell ref="I120:M120"/>
    <mergeCell ref="G121:H122"/>
    <mergeCell ref="G123:H123"/>
    <mergeCell ref="D120:H120"/>
    <mergeCell ref="D126:E126"/>
    <mergeCell ref="L128:M128"/>
    <mergeCell ref="G124:H124"/>
    <mergeCell ref="G125:H125"/>
    <mergeCell ref="I124:J124"/>
    <mergeCell ref="I125:J125"/>
    <mergeCell ref="I128:J128"/>
    <mergeCell ref="G127:H127"/>
    <mergeCell ref="G128:H128"/>
    <mergeCell ref="G126:H126"/>
    <mergeCell ref="D127:E127"/>
    <mergeCell ref="I121:K122"/>
    <mergeCell ref="L121:M122"/>
    <mergeCell ref="L127:M127"/>
    <mergeCell ref="A112:C112"/>
    <mergeCell ref="D112:E112"/>
    <mergeCell ref="A78:B78"/>
    <mergeCell ref="A79:B79"/>
    <mergeCell ref="G57:H57"/>
    <mergeCell ref="A68:B68"/>
    <mergeCell ref="A69:B69"/>
    <mergeCell ref="F111:G111"/>
    <mergeCell ref="A104:G105"/>
    <mergeCell ref="A110:C110"/>
    <mergeCell ref="D106:E106"/>
    <mergeCell ref="A108:B108"/>
    <mergeCell ref="F106:G106"/>
    <mergeCell ref="A70:B70"/>
    <mergeCell ref="A64:B66"/>
    <mergeCell ref="C64:L64"/>
    <mergeCell ref="C65:D65"/>
    <mergeCell ref="E65:F65"/>
    <mergeCell ref="G65:H65"/>
    <mergeCell ref="A59:B59"/>
    <mergeCell ref="A60:B60"/>
    <mergeCell ref="E57:F57"/>
    <mergeCell ref="A126:C126"/>
    <mergeCell ref="N19:O19"/>
    <mergeCell ref="N21:O21"/>
    <mergeCell ref="K65:L65"/>
    <mergeCell ref="A127:C127"/>
    <mergeCell ref="A128:C128"/>
    <mergeCell ref="D124:E124"/>
    <mergeCell ref="D125:E125"/>
    <mergeCell ref="A48:B48"/>
    <mergeCell ref="A49:B49"/>
    <mergeCell ref="K42:L42"/>
    <mergeCell ref="L124:M124"/>
    <mergeCell ref="L125:M125"/>
    <mergeCell ref="L126:M126"/>
    <mergeCell ref="A46:B46"/>
    <mergeCell ref="A47:B47"/>
    <mergeCell ref="A41:B43"/>
    <mergeCell ref="I65:J65"/>
    <mergeCell ref="I57:J57"/>
    <mergeCell ref="K57:L57"/>
    <mergeCell ref="A53:L54"/>
    <mergeCell ref="A55:A56"/>
    <mergeCell ref="B55:B56"/>
    <mergeCell ref="C55:L55"/>
    <mergeCell ref="C56:L56"/>
  </mergeCells>
  <dataValidations count="1">
    <dataValidation type="list" allowBlank="1" showInputMessage="1" showErrorMessage="1" sqref="C122 B91 B55 B30 B76 C108">
      <formula1>Local</formula1>
    </dataValidation>
  </dataValidation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5">
    <pageSetUpPr fitToPage="1"/>
  </sheetPr>
  <dimension ref="A1:CI206"/>
  <sheetViews>
    <sheetView zoomScale="90" zoomScaleNormal="90" zoomScalePageLayoutView="60" workbookViewId="0" topLeftCell="A1">
      <selection activeCell="A4" sqref="A4:B4"/>
    </sheetView>
  </sheetViews>
  <sheetFormatPr defaultColWidth="9.140625" defaultRowHeight="12.75"/>
  <cols>
    <col min="1" max="1" width="14.57421875" style="138" customWidth="1"/>
    <col min="2" max="2" width="18.00390625" style="138" customWidth="1"/>
    <col min="3" max="3" width="13.7109375" style="138" customWidth="1"/>
    <col min="4" max="4" width="13.57421875" style="138" customWidth="1"/>
    <col min="5" max="5" width="13.8515625" style="138" customWidth="1"/>
    <col min="6" max="7" width="13.140625" style="138" customWidth="1"/>
    <col min="8" max="8" width="14.421875" style="138" customWidth="1"/>
    <col min="9" max="9" width="13.7109375" style="138" customWidth="1"/>
    <col min="10" max="10" width="14.28125" style="138" customWidth="1"/>
    <col min="11" max="12" width="13.7109375" style="138" customWidth="1"/>
    <col min="13" max="13" width="12.28125" style="138" customWidth="1"/>
    <col min="14" max="14" width="11.28125" style="138" customWidth="1"/>
    <col min="15" max="15" width="35.421875" style="138" customWidth="1"/>
    <col min="16" max="16" width="11.28125" style="138" customWidth="1"/>
    <col min="17" max="22" width="11.7109375" style="138" customWidth="1"/>
    <col min="23" max="25" width="22.57421875" style="138" customWidth="1"/>
    <col min="26" max="26" width="15.8515625" style="138" customWidth="1"/>
    <col min="27" max="28" width="16.28125" style="173" customWidth="1"/>
    <col min="29" max="29" width="15.8515625" style="173" customWidth="1"/>
    <col min="30" max="30" width="18.00390625" style="173" customWidth="1"/>
    <col min="31" max="31" width="14.7109375" style="173" customWidth="1"/>
    <col min="32" max="32" width="16.28125" style="173" customWidth="1"/>
    <col min="33" max="33" width="14.7109375" style="173" customWidth="1"/>
    <col min="34" max="34" width="18.140625" style="173" customWidth="1"/>
    <col min="35" max="41" width="14.7109375" style="173" customWidth="1"/>
    <col min="42" max="42" width="14.421875" style="173" customWidth="1"/>
    <col min="43" max="44" width="14.7109375" style="173" customWidth="1"/>
    <col min="45" max="45" width="11.57421875" style="173" customWidth="1"/>
    <col min="46" max="46" width="9.140625" style="173" customWidth="1"/>
    <col min="47" max="47" width="9.140625" style="138" customWidth="1"/>
    <col min="48" max="48" width="11.28125" style="138" customWidth="1"/>
    <col min="49" max="49" width="11.00390625" style="138" customWidth="1"/>
    <col min="50" max="50" width="12.00390625" style="138" customWidth="1"/>
    <col min="51" max="51" width="13.28125" style="138" customWidth="1"/>
    <col min="52" max="52" width="10.28125" style="138" customWidth="1"/>
    <col min="53" max="53" width="11.7109375" style="138" customWidth="1"/>
    <col min="54" max="54" width="10.7109375" style="138" customWidth="1"/>
    <col min="55" max="55" width="13.28125" style="138" customWidth="1"/>
    <col min="56" max="56" width="10.00390625" style="138" customWidth="1"/>
    <col min="57" max="57" width="13.28125" style="138" customWidth="1"/>
    <col min="58" max="61" width="9.140625" style="138" customWidth="1"/>
    <col min="62" max="62" width="12.140625" style="138" customWidth="1"/>
    <col min="63" max="63" width="12.57421875" style="138" customWidth="1"/>
    <col min="64" max="65" width="12.28125" style="138" customWidth="1"/>
    <col min="66" max="67" width="9.140625" style="138" customWidth="1"/>
    <col min="68" max="68" width="10.140625" style="138" customWidth="1"/>
    <col min="69" max="16384" width="9.140625" style="138" customWidth="1"/>
  </cols>
  <sheetData>
    <row r="1" spans="1:87" ht="13.5" thickBot="1">
      <c r="A1" s="862" t="s">
        <v>483</v>
      </c>
      <c r="B1" s="862"/>
      <c r="C1" s="862"/>
      <c r="D1" s="862"/>
      <c r="E1" s="862"/>
      <c r="F1" s="862"/>
      <c r="G1" s="862"/>
      <c r="H1" s="862"/>
      <c r="I1" s="862"/>
      <c r="J1" s="862"/>
      <c r="K1" s="862"/>
      <c r="L1" s="862"/>
      <c r="M1" s="862"/>
      <c r="N1" s="862"/>
      <c r="Q1" s="1079" t="s">
        <v>700</v>
      </c>
      <c r="R1" s="1079"/>
      <c r="S1" s="1079"/>
      <c r="T1" s="1079"/>
      <c r="U1" s="1079"/>
      <c r="V1" s="1079"/>
      <c r="AX1" s="133"/>
      <c r="BD1" s="197"/>
      <c r="BI1" s="154"/>
      <c r="BJ1" s="154"/>
      <c r="BK1" s="154"/>
      <c r="BL1" s="154"/>
      <c r="BM1" s="154"/>
      <c r="BN1" s="154"/>
      <c r="BO1" s="134"/>
      <c r="BP1" s="134"/>
      <c r="BQ1" s="154"/>
      <c r="BR1" s="154"/>
      <c r="BS1" s="154"/>
      <c r="BT1" s="154"/>
      <c r="BU1" s="154"/>
      <c r="BV1" s="134"/>
      <c r="BW1" s="134"/>
      <c r="BX1" s="134"/>
      <c r="BY1" s="134"/>
      <c r="BZ1" s="134"/>
      <c r="CA1" s="134"/>
      <c r="CB1" s="134"/>
      <c r="CC1" s="134"/>
      <c r="CD1" s="134"/>
      <c r="CE1" s="134"/>
      <c r="CF1" s="134"/>
      <c r="CG1" s="134"/>
      <c r="CH1" s="134"/>
      <c r="CI1" s="134"/>
    </row>
    <row r="2" spans="1:87" ht="12.75" customHeight="1" thickBot="1" thickTop="1">
      <c r="A2" s="863"/>
      <c r="B2" s="863"/>
      <c r="C2" s="863"/>
      <c r="D2" s="863"/>
      <c r="E2" s="863"/>
      <c r="F2" s="863"/>
      <c r="G2" s="863"/>
      <c r="H2" s="863"/>
      <c r="I2" s="863"/>
      <c r="J2" s="863"/>
      <c r="K2" s="863"/>
      <c r="L2" s="863"/>
      <c r="M2" s="863"/>
      <c r="N2" s="863"/>
      <c r="O2" s="154"/>
      <c r="P2" s="154"/>
      <c r="Q2" s="308"/>
      <c r="R2" s="309"/>
      <c r="S2" s="309"/>
      <c r="T2" s="309"/>
      <c r="U2" s="309"/>
      <c r="V2" s="344"/>
      <c r="BT2" s="154"/>
      <c r="BU2" s="154"/>
      <c r="BV2" s="147"/>
      <c r="BW2" s="147"/>
      <c r="BX2" s="147"/>
      <c r="BY2" s="147"/>
      <c r="BZ2" s="134"/>
      <c r="CA2" s="134"/>
      <c r="CB2" s="134"/>
      <c r="CC2" s="134"/>
      <c r="CD2" s="147"/>
      <c r="CE2" s="147"/>
      <c r="CF2" s="147"/>
      <c r="CG2" s="147"/>
      <c r="CH2" s="147"/>
      <c r="CI2" s="134"/>
    </row>
    <row r="3" spans="1:87" ht="16.5" customHeight="1">
      <c r="A3" s="1080" t="s">
        <v>0</v>
      </c>
      <c r="B3" s="1080"/>
      <c r="C3" s="1080"/>
      <c r="D3" s="1080"/>
      <c r="E3" s="1081"/>
      <c r="F3" s="1094" t="s">
        <v>8</v>
      </c>
      <c r="G3" s="1080"/>
      <c r="H3" s="1080"/>
      <c r="I3" s="1080"/>
      <c r="J3" s="1080"/>
      <c r="K3" s="1080"/>
      <c r="L3" s="1080"/>
      <c r="M3" s="1080"/>
      <c r="N3" s="1080"/>
      <c r="O3" s="133"/>
      <c r="P3" s="133"/>
      <c r="Q3" s="311"/>
      <c r="R3" s="312"/>
      <c r="S3" s="312"/>
      <c r="T3" s="312"/>
      <c r="U3" s="312"/>
      <c r="V3" s="345"/>
      <c r="AA3" s="173" t="s">
        <v>365</v>
      </c>
      <c r="AF3" s="173" t="s">
        <v>366</v>
      </c>
      <c r="BT3" s="154"/>
      <c r="BU3" s="154"/>
      <c r="BV3" s="147"/>
      <c r="BW3" s="147"/>
      <c r="BX3" s="147"/>
      <c r="BY3" s="147"/>
      <c r="BZ3" s="134"/>
      <c r="CA3" s="134"/>
      <c r="CB3" s="134"/>
      <c r="CC3" s="134"/>
      <c r="CD3" s="147"/>
      <c r="CE3" s="147"/>
      <c r="CF3" s="147"/>
      <c r="CG3" s="147"/>
      <c r="CH3" s="147"/>
      <c r="CI3" s="134"/>
    </row>
    <row r="4" spans="1:87" ht="16.5" customHeight="1">
      <c r="A4" s="1082" t="s">
        <v>1</v>
      </c>
      <c r="B4" s="1083"/>
      <c r="C4" s="1087" t="str">
        <f>'Project Information'!B6</f>
        <v>John Smith</v>
      </c>
      <c r="D4" s="1087"/>
      <c r="E4" s="1087"/>
      <c r="F4" s="1076" t="s">
        <v>9</v>
      </c>
      <c r="G4" s="1076"/>
      <c r="H4" s="1090" t="e">
        <f>VLOOKUP($C$7,'Project Information'!$A$16:$H$92,2,FALSE)</f>
        <v>#N/A</v>
      </c>
      <c r="I4" s="1090"/>
      <c r="J4" s="1090"/>
      <c r="K4" s="1090"/>
      <c r="L4" s="1090"/>
      <c r="M4" s="1090"/>
      <c r="N4" s="1092"/>
      <c r="O4" s="134"/>
      <c r="P4" s="134"/>
      <c r="Q4" s="311"/>
      <c r="R4" s="312"/>
      <c r="S4" s="312"/>
      <c r="T4" s="312"/>
      <c r="U4" s="312"/>
      <c r="V4" s="345"/>
      <c r="BT4" s="154"/>
      <c r="BU4" s="154"/>
      <c r="BV4" s="147"/>
      <c r="BW4" s="147"/>
      <c r="BX4" s="147"/>
      <c r="BY4" s="147"/>
      <c r="BZ4" s="134"/>
      <c r="CA4" s="134"/>
      <c r="CB4" s="134"/>
      <c r="CC4" s="134"/>
      <c r="CD4" s="175"/>
      <c r="CE4" s="175"/>
      <c r="CF4" s="147"/>
      <c r="CG4" s="147"/>
      <c r="CH4" s="147"/>
      <c r="CI4" s="134"/>
    </row>
    <row r="5" spans="1:87" ht="16.5" customHeight="1">
      <c r="A5" s="1082" t="s">
        <v>2</v>
      </c>
      <c r="B5" s="1083"/>
      <c r="C5" s="1090" t="str">
        <f>'Project Information'!B7</f>
        <v>ABC Company</v>
      </c>
      <c r="D5" s="1090" t="s">
        <v>452</v>
      </c>
      <c r="E5" s="1090" t="s">
        <v>452</v>
      </c>
      <c r="F5" s="1076" t="s">
        <v>10</v>
      </c>
      <c r="G5" s="1076"/>
      <c r="H5" s="1090" t="e">
        <f>VLOOKUP($C$7,'Project Information'!$A$16:$H$92,3,FALSE)</f>
        <v>#N/A</v>
      </c>
      <c r="I5" s="1090"/>
      <c r="J5" s="1090"/>
      <c r="K5" s="1090"/>
      <c r="L5" s="1090"/>
      <c r="M5" s="1090"/>
      <c r="N5" s="1092"/>
      <c r="O5" s="173"/>
      <c r="P5" s="173"/>
      <c r="Q5" s="311"/>
      <c r="R5" s="312"/>
      <c r="S5" s="312"/>
      <c r="T5" s="312"/>
      <c r="U5" s="312"/>
      <c r="V5" s="345"/>
      <c r="W5" s="154"/>
      <c r="X5" s="154"/>
      <c r="Y5" s="154"/>
      <c r="Z5" s="154"/>
      <c r="AA5" s="133" t="s">
        <v>502</v>
      </c>
      <c r="AB5" s="138"/>
      <c r="AC5" s="198">
        <f>POWER($F$26,-0.614)*0.3566</f>
        <v>0.04418032318214567</v>
      </c>
      <c r="AF5" s="138"/>
      <c r="AG5" s="138"/>
      <c r="AH5" s="138"/>
      <c r="AI5" s="138"/>
      <c r="BT5" s="154"/>
      <c r="BU5" s="154"/>
      <c r="BV5" s="147"/>
      <c r="BW5" s="147"/>
      <c r="BX5" s="147"/>
      <c r="BY5" s="147"/>
      <c r="BZ5" s="147"/>
      <c r="CA5" s="147"/>
      <c r="CB5" s="134"/>
      <c r="CC5" s="134"/>
      <c r="CD5" s="175"/>
      <c r="CE5" s="175"/>
      <c r="CF5" s="147"/>
      <c r="CG5" s="147"/>
      <c r="CH5" s="147"/>
      <c r="CI5" s="134"/>
    </row>
    <row r="6" spans="1:87" ht="16.5" customHeight="1">
      <c r="A6" s="1082" t="s">
        <v>3</v>
      </c>
      <c r="B6" s="1083"/>
      <c r="C6" s="1091">
        <f>'Project Information'!F5</f>
        <v>40675</v>
      </c>
      <c r="D6" s="1091">
        <v>40675</v>
      </c>
      <c r="E6" s="1091">
        <v>40675</v>
      </c>
      <c r="F6" s="1076" t="s">
        <v>11</v>
      </c>
      <c r="G6" s="1076"/>
      <c r="H6" s="1090" t="e">
        <f>VLOOKUP($C$7,'Project Information'!$A$16:$H$92,4,FALSE)</f>
        <v>#N/A</v>
      </c>
      <c r="I6" s="1090"/>
      <c r="J6" s="1090"/>
      <c r="K6" s="1090"/>
      <c r="L6" s="1090"/>
      <c r="M6" s="1090"/>
      <c r="N6" s="1092"/>
      <c r="O6" s="173"/>
      <c r="P6" s="173"/>
      <c r="Q6" s="311"/>
      <c r="R6" s="312"/>
      <c r="S6" s="312"/>
      <c r="T6" s="312"/>
      <c r="U6" s="312"/>
      <c r="V6" s="345"/>
      <c r="W6" s="154"/>
      <c r="X6" s="154"/>
      <c r="Y6" s="154"/>
      <c r="Z6" s="154"/>
      <c r="AA6" s="134"/>
      <c r="AB6" s="134"/>
      <c r="AC6" s="134"/>
      <c r="AF6" s="181" t="s">
        <v>503</v>
      </c>
      <c r="AG6" s="198" t="e">
        <f>IF('Segment Tables'!$C$122="No",(VLOOKUP($F$9,'Segment Tables'!$A$124:$M$128,4,FALSE)),(VLOOKUP($F$9,'Segment Tables'!$A$124:$M$128,9,FALSE)))</f>
        <v>#N/A</v>
      </c>
      <c r="AH6" s="150"/>
      <c r="AI6" s="150"/>
      <c r="BT6" s="154"/>
      <c r="BU6" s="154"/>
      <c r="BV6" s="150"/>
      <c r="BW6" s="150"/>
      <c r="BX6" s="150"/>
      <c r="BY6" s="150"/>
      <c r="BZ6" s="150"/>
      <c r="CA6" s="150"/>
      <c r="CB6" s="134"/>
      <c r="CC6" s="134"/>
      <c r="CD6" s="133"/>
      <c r="CE6" s="133"/>
      <c r="CF6" s="150"/>
      <c r="CG6" s="150"/>
      <c r="CH6" s="150"/>
      <c r="CI6" s="134"/>
    </row>
    <row r="7" spans="1:87" ht="16.5" customHeight="1" thickBot="1">
      <c r="A7" s="1084" t="s">
        <v>484</v>
      </c>
      <c r="B7" s="1085"/>
      <c r="C7" s="1086" t="s">
        <v>357</v>
      </c>
      <c r="D7" s="1086"/>
      <c r="E7" s="1086"/>
      <c r="F7" s="962" t="s">
        <v>12</v>
      </c>
      <c r="G7" s="962"/>
      <c r="H7" s="1086">
        <f>'Project Information'!$F$6</f>
        <v>2011</v>
      </c>
      <c r="I7" s="1086"/>
      <c r="J7" s="1086"/>
      <c r="K7" s="1086"/>
      <c r="L7" s="1086"/>
      <c r="M7" s="1086"/>
      <c r="N7" s="1093"/>
      <c r="O7" s="134"/>
      <c r="P7" s="134"/>
      <c r="Q7" s="311"/>
      <c r="R7" s="312"/>
      <c r="S7" s="312"/>
      <c r="T7" s="312"/>
      <c r="U7" s="312"/>
      <c r="V7" s="345"/>
      <c r="W7" s="154"/>
      <c r="X7" s="154"/>
      <c r="Y7" s="154"/>
      <c r="Z7" s="154"/>
      <c r="AA7" s="134"/>
      <c r="AB7" s="134"/>
      <c r="AC7" s="134"/>
      <c r="AF7" s="138"/>
      <c r="AG7" s="138"/>
      <c r="AH7" s="138"/>
      <c r="AI7" s="138"/>
      <c r="BT7" s="154"/>
      <c r="BU7" s="154"/>
      <c r="BV7" s="150"/>
      <c r="BW7" s="150"/>
      <c r="BX7" s="150"/>
      <c r="BY7" s="150"/>
      <c r="BZ7" s="150"/>
      <c r="CA7" s="150"/>
      <c r="CB7" s="134"/>
      <c r="CC7" s="134"/>
      <c r="CD7" s="133"/>
      <c r="CE7" s="133"/>
      <c r="CF7" s="150"/>
      <c r="CG7" s="150"/>
      <c r="CH7" s="150"/>
      <c r="CI7" s="134"/>
    </row>
    <row r="8" spans="1:83" ht="16.5" customHeight="1">
      <c r="A8" s="1088" t="s">
        <v>4</v>
      </c>
      <c r="B8" s="1088"/>
      <c r="C8" s="1088"/>
      <c r="D8" s="1088"/>
      <c r="E8" s="1089"/>
      <c r="F8" s="1023" t="s">
        <v>15</v>
      </c>
      <c r="G8" s="1024"/>
      <c r="H8" s="1024"/>
      <c r="I8" s="1024"/>
      <c r="J8" s="1024"/>
      <c r="K8" s="1023" t="s">
        <v>13</v>
      </c>
      <c r="L8" s="1023"/>
      <c r="M8" s="1023"/>
      <c r="N8" s="1095"/>
      <c r="O8" s="1078" t="str">
        <f>IF($F$9="2U","Two-lane undivided arterials",IF($F$9="3T","Three-lane arterials including a center two-way left-turn lane (TWLTL)",IF($F$9="4U","Four-lane undivided arterials",IF($F$9="4D","Four-lane divided arterials (i.e., including a raised or depressed median)","Five-lane arterials including a center two-way left-turn lane (TWLTL)"))))</f>
        <v>Five-lane arterials including a center two-way left-turn lane (TWLTL)</v>
      </c>
      <c r="P8" s="173"/>
      <c r="Q8" s="311"/>
      <c r="R8" s="312"/>
      <c r="S8" s="312"/>
      <c r="T8" s="312"/>
      <c r="U8" s="312"/>
      <c r="V8" s="345"/>
      <c r="W8" s="154"/>
      <c r="X8" s="154"/>
      <c r="Y8" s="154"/>
      <c r="Z8" s="150"/>
      <c r="AA8" s="134" t="s">
        <v>504</v>
      </c>
      <c r="AB8" s="138"/>
      <c r="AC8" s="199" t="e">
        <f>$AC$5*$F$25*(IF('Segment Tables'!$C$108="No",(VLOOKUP($F$9,'Segment Tables'!$A$110:$G$114,4,FALSE)),(VLOOKUP($F$10,'Segment Tables'!$A$110:$G$114,6,FALSE))))+(1-(IF('Segment Tables'!$C$108="No",(VLOOKUP($F$9,'Segment Tables'!$A$110:$G$114,4,FALSE)),(VLOOKUP($F$9,'Segment Tables'!$A$110:$G$114,6,FALSE)))))</f>
        <v>#N/A</v>
      </c>
      <c r="AF8" s="181" t="s">
        <v>505</v>
      </c>
      <c r="AG8" s="198" t="e">
        <f>IF('Segment Tables'!$C$122="No",(VLOOKUP($F$9,'Segment Tables'!$A$124:$M$128,6,FALSE)),(VLOOKUP($F$9,'Segment Tables'!$A$124:$M$128,11,FALSE)))</f>
        <v>#N/A</v>
      </c>
      <c r="AH8" s="138"/>
      <c r="AQ8" s="138"/>
      <c r="AR8" s="138"/>
      <c r="AS8" s="138"/>
      <c r="AT8" s="138"/>
      <c r="BP8" s="154"/>
      <c r="BQ8" s="154"/>
      <c r="BR8" s="150"/>
      <c r="BS8" s="150"/>
      <c r="BT8" s="150"/>
      <c r="BU8" s="150"/>
      <c r="BV8" s="150"/>
      <c r="BW8" s="150"/>
      <c r="BX8" s="134"/>
      <c r="BY8" s="134"/>
      <c r="BZ8" s="133"/>
      <c r="CA8" s="133"/>
      <c r="CB8" s="150"/>
      <c r="CC8" s="150"/>
      <c r="CD8" s="150"/>
      <c r="CE8" s="134"/>
    </row>
    <row r="9" spans="1:83" ht="16.5" customHeight="1">
      <c r="A9" s="906" t="s">
        <v>704</v>
      </c>
      <c r="B9" s="906"/>
      <c r="C9" s="906"/>
      <c r="D9" s="906"/>
      <c r="E9" s="879"/>
      <c r="F9" s="1025"/>
      <c r="G9" s="1026"/>
      <c r="H9" s="1026"/>
      <c r="I9" s="1026"/>
      <c r="J9" s="1026"/>
      <c r="K9" s="919" t="s">
        <v>14</v>
      </c>
      <c r="L9" s="919"/>
      <c r="M9" s="919"/>
      <c r="N9" s="920"/>
      <c r="O9" s="1078"/>
      <c r="P9" s="173"/>
      <c r="Q9" s="311"/>
      <c r="R9" s="312"/>
      <c r="S9" s="312"/>
      <c r="T9" s="312"/>
      <c r="U9" s="312"/>
      <c r="V9" s="345"/>
      <c r="W9" s="147"/>
      <c r="X9" s="147"/>
      <c r="Y9" s="147"/>
      <c r="Z9" s="147"/>
      <c r="AA9" s="147"/>
      <c r="AB9" s="147"/>
      <c r="AC9" s="147"/>
      <c r="AF9" s="138"/>
      <c r="AG9" s="138"/>
      <c r="AH9" s="138"/>
      <c r="AQ9" s="138"/>
      <c r="AR9" s="138"/>
      <c r="AS9" s="138"/>
      <c r="AT9" s="138"/>
      <c r="BP9" s="154"/>
      <c r="BQ9" s="154"/>
      <c r="BR9" s="150"/>
      <c r="BS9" s="150"/>
      <c r="BT9" s="150"/>
      <c r="BU9" s="150"/>
      <c r="BV9" s="150"/>
      <c r="BW9" s="150"/>
      <c r="BX9" s="134"/>
      <c r="BY9" s="134"/>
      <c r="BZ9" s="133"/>
      <c r="CA9" s="133"/>
      <c r="CB9" s="150"/>
      <c r="CC9" s="150"/>
      <c r="CD9" s="150"/>
      <c r="CE9" s="134"/>
    </row>
    <row r="10" spans="1:83" ht="16.5" customHeight="1" thickBot="1">
      <c r="A10" s="1005" t="s">
        <v>5</v>
      </c>
      <c r="B10" s="1005"/>
      <c r="C10" s="1005"/>
      <c r="D10" s="1005"/>
      <c r="E10" s="1030"/>
      <c r="F10" s="921"/>
      <c r="G10" s="1014"/>
      <c r="H10" s="1014"/>
      <c r="I10" s="1014"/>
      <c r="J10" s="1014"/>
      <c r="K10" s="919" t="s">
        <v>14</v>
      </c>
      <c r="L10" s="919"/>
      <c r="M10" s="919"/>
      <c r="N10" s="920"/>
      <c r="P10" s="173"/>
      <c r="Q10" s="311"/>
      <c r="R10" s="312"/>
      <c r="S10" s="312"/>
      <c r="T10" s="312"/>
      <c r="U10" s="312"/>
      <c r="V10" s="345"/>
      <c r="W10" s="147"/>
      <c r="X10" s="147"/>
      <c r="Y10" s="147"/>
      <c r="Z10" s="150"/>
      <c r="AA10" s="134" t="s">
        <v>506</v>
      </c>
      <c r="AB10" s="147"/>
      <c r="AC10" s="199" t="e">
        <f>IF(+AC8&lt;1,1,AC8)</f>
        <v>#N/A</v>
      </c>
      <c r="AF10" s="181" t="s">
        <v>507</v>
      </c>
      <c r="AG10" s="198" t="e">
        <f>IF('Segment Tables'!$C$122="No",(VLOOKUP($F$9,'Segment Tables'!$A$124:$M$128,7,FALSE)),(VLOOKUP($F$9,'Segment Tables'!$A$124:$M$128,12,FALSE)))</f>
        <v>#N/A</v>
      </c>
      <c r="AH10" s="138"/>
      <c r="AQ10" s="138"/>
      <c r="AR10" s="138"/>
      <c r="AS10" s="138"/>
      <c r="AT10" s="138"/>
      <c r="BP10" s="154"/>
      <c r="BQ10" s="154"/>
      <c r="BR10" s="134"/>
      <c r="BS10" s="134"/>
      <c r="BT10" s="134"/>
      <c r="BU10" s="134"/>
      <c r="BV10" s="134"/>
      <c r="BW10" s="134"/>
      <c r="BX10" s="134"/>
      <c r="BY10" s="134"/>
      <c r="BZ10" s="133"/>
      <c r="CA10" s="133"/>
      <c r="CB10" s="150"/>
      <c r="CC10" s="150"/>
      <c r="CD10" s="150"/>
      <c r="CE10" s="134"/>
    </row>
    <row r="11" spans="1:83" ht="16.5" customHeight="1" thickBot="1">
      <c r="A11" s="440" t="s">
        <v>6</v>
      </c>
      <c r="B11" s="440" t="str">
        <f>IF(F11&gt;D11," is out of range"," is within range")</f>
        <v xml:space="preserve"> is within range</v>
      </c>
      <c r="C11" s="200" t="s">
        <v>508</v>
      </c>
      <c r="D11" s="201">
        <f>IF($F$9="2U",32600,IF($F$9="3T",32900,IF($F$9="4U",40100,IF($F$9="4D",66000,53800))))</f>
        <v>53800</v>
      </c>
      <c r="E11" s="179" t="s">
        <v>411</v>
      </c>
      <c r="F11" s="1027"/>
      <c r="G11" s="1028"/>
      <c r="H11" s="1028"/>
      <c r="I11" s="1028"/>
      <c r="J11" s="1028"/>
      <c r="K11" s="919" t="s">
        <v>14</v>
      </c>
      <c r="L11" s="919"/>
      <c r="M11" s="919"/>
      <c r="N11" s="920"/>
      <c r="O11" s="138" t="str">
        <f>IF(F11&gt;D11,"AADT out of range","AADT OK")</f>
        <v>AADT OK</v>
      </c>
      <c r="P11" s="173"/>
      <c r="Q11" s="311"/>
      <c r="R11" s="312"/>
      <c r="S11" s="312"/>
      <c r="T11" s="312"/>
      <c r="U11" s="312"/>
      <c r="V11" s="345"/>
      <c r="W11" s="147"/>
      <c r="X11" s="147"/>
      <c r="Y11" s="147"/>
      <c r="Z11" s="147"/>
      <c r="AA11" s="134"/>
      <c r="AB11" s="147"/>
      <c r="AC11" s="147"/>
      <c r="AF11" s="138"/>
      <c r="AG11" s="138"/>
      <c r="AH11" s="138"/>
      <c r="AQ11" s="138"/>
      <c r="AR11" s="138"/>
      <c r="AS11" s="138"/>
      <c r="AT11" s="138"/>
      <c r="BP11" s="154"/>
      <c r="BQ11" s="154"/>
      <c r="BR11" s="134"/>
      <c r="BS11" s="134"/>
      <c r="BT11" s="134"/>
      <c r="BU11" s="134"/>
      <c r="BV11" s="134"/>
      <c r="BW11" s="134"/>
      <c r="BX11" s="134"/>
      <c r="BY11" s="134"/>
      <c r="BZ11" s="133"/>
      <c r="CA11" s="133"/>
      <c r="CB11" s="150"/>
      <c r="CC11" s="150"/>
      <c r="CD11" s="150"/>
      <c r="CE11" s="134"/>
    </row>
    <row r="12" spans="1:83" ht="16.5" customHeight="1">
      <c r="A12" s="1006" t="s">
        <v>112</v>
      </c>
      <c r="B12" s="1006"/>
      <c r="C12" s="1006"/>
      <c r="D12" s="1006"/>
      <c r="E12" s="1029"/>
      <c r="F12" s="1021" t="s">
        <v>131</v>
      </c>
      <c r="G12" s="1021"/>
      <c r="H12" s="1021"/>
      <c r="I12" s="1021"/>
      <c r="J12" s="1021"/>
      <c r="K12" s="878" t="s">
        <v>131</v>
      </c>
      <c r="L12" s="878"/>
      <c r="M12" s="878"/>
      <c r="N12" s="918"/>
      <c r="P12" s="173"/>
      <c r="Q12" s="311"/>
      <c r="R12" s="312"/>
      <c r="S12" s="312"/>
      <c r="T12" s="312"/>
      <c r="U12" s="312"/>
      <c r="V12" s="345"/>
      <c r="W12" s="302"/>
      <c r="X12" s="302"/>
      <c r="Y12" s="302"/>
      <c r="Z12" s="134"/>
      <c r="AQ12" s="138"/>
      <c r="AR12" s="138"/>
      <c r="AS12" s="138"/>
      <c r="AT12" s="138"/>
      <c r="BP12" s="154"/>
      <c r="BQ12" s="154"/>
      <c r="BR12" s="134"/>
      <c r="BS12" s="134"/>
      <c r="BT12" s="134"/>
      <c r="BU12" s="134"/>
      <c r="BV12" s="134"/>
      <c r="BW12" s="134"/>
      <c r="BX12" s="134"/>
      <c r="BY12" s="134"/>
      <c r="BZ12" s="133"/>
      <c r="CA12" s="133"/>
      <c r="CB12" s="150"/>
      <c r="CC12" s="150"/>
      <c r="CD12" s="150"/>
      <c r="CE12" s="134"/>
    </row>
    <row r="13" spans="1:83" ht="16.5" customHeight="1">
      <c r="A13" s="906" t="s">
        <v>113</v>
      </c>
      <c r="B13" s="906"/>
      <c r="C13" s="906"/>
      <c r="D13" s="906"/>
      <c r="E13" s="879"/>
      <c r="F13" s="921"/>
      <c r="G13" s="1014"/>
      <c r="H13" s="1014"/>
      <c r="I13" s="1014"/>
      <c r="J13" s="1014"/>
      <c r="K13" s="919" t="s">
        <v>14</v>
      </c>
      <c r="L13" s="919"/>
      <c r="M13" s="919"/>
      <c r="N13" s="920"/>
      <c r="P13" s="173"/>
      <c r="Q13" s="311"/>
      <c r="R13" s="312"/>
      <c r="S13" s="312"/>
      <c r="T13" s="312"/>
      <c r="U13" s="312"/>
      <c r="V13" s="345"/>
      <c r="W13" s="302"/>
      <c r="X13" s="302"/>
      <c r="Y13" s="302"/>
      <c r="Z13" s="134"/>
      <c r="AQ13" s="138"/>
      <c r="AR13" s="138"/>
      <c r="AS13" s="138"/>
      <c r="AT13" s="138"/>
      <c r="BP13" s="154"/>
      <c r="BQ13" s="154"/>
      <c r="BR13" s="134"/>
      <c r="BS13" s="134"/>
      <c r="BT13" s="134"/>
      <c r="BU13" s="134"/>
      <c r="BV13" s="134"/>
      <c r="BW13" s="134"/>
      <c r="BX13" s="134"/>
      <c r="BY13" s="134"/>
      <c r="BZ13" s="136"/>
      <c r="CA13" s="134"/>
      <c r="CB13" s="134"/>
      <c r="CC13" s="134"/>
      <c r="CD13" s="134"/>
      <c r="CE13" s="134"/>
    </row>
    <row r="14" spans="1:83" ht="16.5" customHeight="1">
      <c r="A14" s="906" t="s">
        <v>79</v>
      </c>
      <c r="B14" s="906"/>
      <c r="C14" s="906"/>
      <c r="D14" s="906"/>
      <c r="E14" s="879"/>
      <c r="F14" s="1021"/>
      <c r="G14" s="1022"/>
      <c r="H14" s="1022"/>
      <c r="I14" s="1022"/>
      <c r="J14" s="1022"/>
      <c r="K14" s="878">
        <v>15</v>
      </c>
      <c r="L14" s="878"/>
      <c r="M14" s="878"/>
      <c r="N14" s="918"/>
      <c r="P14" s="173"/>
      <c r="Q14" s="311"/>
      <c r="R14" s="312"/>
      <c r="S14" s="312"/>
      <c r="T14" s="312"/>
      <c r="U14" s="312"/>
      <c r="V14" s="345"/>
      <c r="W14" s="173"/>
      <c r="X14" s="173"/>
      <c r="Y14" s="173"/>
      <c r="Z14" s="173"/>
      <c r="AQ14" s="138"/>
      <c r="AR14" s="138"/>
      <c r="AS14" s="138"/>
      <c r="AT14" s="138"/>
      <c r="BP14" s="154"/>
      <c r="BQ14" s="154"/>
      <c r="BR14" s="134"/>
      <c r="BS14" s="134"/>
      <c r="BT14" s="134"/>
      <c r="BU14" s="134"/>
      <c r="BV14" s="134"/>
      <c r="BW14" s="134"/>
      <c r="BX14" s="134"/>
      <c r="BY14" s="134"/>
      <c r="BZ14" s="134"/>
      <c r="CA14" s="134"/>
      <c r="CB14" s="134"/>
      <c r="CC14" s="134"/>
      <c r="CD14" s="134"/>
      <c r="CE14" s="134"/>
    </row>
    <row r="15" spans="1:83" ht="16.5" customHeight="1">
      <c r="A15" s="906" t="s">
        <v>114</v>
      </c>
      <c r="B15" s="906"/>
      <c r="C15" s="906"/>
      <c r="D15" s="906"/>
      <c r="E15" s="879"/>
      <c r="F15" s="1021" t="s">
        <v>54</v>
      </c>
      <c r="G15" s="1021"/>
      <c r="H15" s="1021"/>
      <c r="I15" s="1021"/>
      <c r="J15" s="1021"/>
      <c r="K15" s="878" t="s">
        <v>54</v>
      </c>
      <c r="L15" s="878"/>
      <c r="M15" s="878"/>
      <c r="N15" s="918"/>
      <c r="P15" s="173"/>
      <c r="Q15" s="311"/>
      <c r="R15" s="312"/>
      <c r="S15" s="312"/>
      <c r="T15" s="312"/>
      <c r="U15" s="312"/>
      <c r="V15" s="345"/>
      <c r="W15" s="173"/>
      <c r="X15" s="173"/>
      <c r="Y15" s="173"/>
      <c r="Z15" s="173"/>
      <c r="AQ15" s="138"/>
      <c r="AR15" s="138"/>
      <c r="AS15" s="138"/>
      <c r="AT15" s="138"/>
      <c r="BP15" s="154"/>
      <c r="BQ15" s="154"/>
      <c r="BR15" s="134"/>
      <c r="BS15" s="134"/>
      <c r="BT15" s="134"/>
      <c r="BU15" s="134"/>
      <c r="BV15" s="134"/>
      <c r="BW15" s="134"/>
      <c r="BX15" s="134"/>
      <c r="BY15" s="134"/>
      <c r="BZ15" s="134"/>
      <c r="CA15" s="134"/>
      <c r="CB15" s="134"/>
      <c r="CC15" s="134"/>
      <c r="CD15" s="134"/>
      <c r="CE15" s="134"/>
    </row>
    <row r="16" spans="1:76" ht="16.5" customHeight="1">
      <c r="A16" s="906" t="s">
        <v>115</v>
      </c>
      <c r="B16" s="906"/>
      <c r="C16" s="906"/>
      <c r="D16" s="906"/>
      <c r="E16" s="879"/>
      <c r="F16" s="1021" t="s">
        <v>54</v>
      </c>
      <c r="G16" s="1021"/>
      <c r="H16" s="1021"/>
      <c r="I16" s="1021"/>
      <c r="J16" s="1021"/>
      <c r="K16" s="878" t="s">
        <v>54</v>
      </c>
      <c r="L16" s="878"/>
      <c r="M16" s="878"/>
      <c r="N16" s="918"/>
      <c r="P16" s="173"/>
      <c r="Q16" s="311"/>
      <c r="R16" s="312"/>
      <c r="S16" s="312"/>
      <c r="T16" s="312"/>
      <c r="U16" s="312"/>
      <c r="V16" s="345"/>
      <c r="W16" s="173"/>
      <c r="X16" s="173"/>
      <c r="Y16" s="173"/>
      <c r="Z16" s="173"/>
      <c r="AA16" s="173" t="s">
        <v>701</v>
      </c>
      <c r="AQ16" s="138"/>
      <c r="AR16" s="138"/>
      <c r="AS16" s="138"/>
      <c r="AT16" s="138"/>
      <c r="BP16" s="150"/>
      <c r="BQ16" s="134"/>
      <c r="BR16" s="134"/>
      <c r="BS16" s="134"/>
      <c r="BT16" s="134"/>
      <c r="BU16" s="134"/>
      <c r="BV16" s="134"/>
      <c r="BW16" s="134"/>
      <c r="BX16" s="134"/>
    </row>
    <row r="17" spans="1:76" ht="16.5" customHeight="1">
      <c r="A17" s="906" t="s">
        <v>116</v>
      </c>
      <c r="B17" s="906"/>
      <c r="C17" s="906"/>
      <c r="D17" s="906"/>
      <c r="E17" s="879"/>
      <c r="F17" s="921"/>
      <c r="G17" s="1014"/>
      <c r="H17" s="1014"/>
      <c r="I17" s="1014"/>
      <c r="J17" s="1014"/>
      <c r="K17" s="919" t="s">
        <v>14</v>
      </c>
      <c r="L17" s="919"/>
      <c r="M17" s="919"/>
      <c r="N17" s="920"/>
      <c r="P17" s="173"/>
      <c r="Q17" s="311"/>
      <c r="R17" s="312"/>
      <c r="S17" s="312"/>
      <c r="T17" s="312"/>
      <c r="U17" s="312"/>
      <c r="V17" s="345"/>
      <c r="W17" s="173"/>
      <c r="X17" s="173"/>
      <c r="Y17" s="173"/>
      <c r="Z17" s="173"/>
      <c r="AA17" s="173">
        <v>10</v>
      </c>
      <c r="AQ17" s="138"/>
      <c r="AR17" s="138"/>
      <c r="AS17" s="138"/>
      <c r="AT17" s="138"/>
      <c r="BP17" s="134"/>
      <c r="BQ17" s="134"/>
      <c r="BR17" s="134"/>
      <c r="BS17" s="134"/>
      <c r="BT17" s="134"/>
      <c r="BU17" s="134"/>
      <c r="BV17" s="134"/>
      <c r="BW17" s="134"/>
      <c r="BX17" s="134"/>
    </row>
    <row r="18" spans="1:46" ht="16.5" customHeight="1">
      <c r="A18" s="906" t="s">
        <v>117</v>
      </c>
      <c r="B18" s="906"/>
      <c r="C18" s="906"/>
      <c r="D18" s="906"/>
      <c r="E18" s="879"/>
      <c r="F18" s="921"/>
      <c r="G18" s="1014"/>
      <c r="H18" s="1014"/>
      <c r="I18" s="1014"/>
      <c r="J18" s="1014"/>
      <c r="K18" s="919" t="s">
        <v>14</v>
      </c>
      <c r="L18" s="919"/>
      <c r="M18" s="919"/>
      <c r="N18" s="920"/>
      <c r="P18" s="173"/>
      <c r="Q18" s="311"/>
      <c r="R18" s="312"/>
      <c r="S18" s="312"/>
      <c r="T18" s="312"/>
      <c r="U18" s="312"/>
      <c r="V18" s="345"/>
      <c r="W18" s="173"/>
      <c r="X18" s="173"/>
      <c r="Y18" s="173"/>
      <c r="Z18" s="173"/>
      <c r="AA18" s="173">
        <v>15</v>
      </c>
      <c r="AQ18" s="138"/>
      <c r="AR18" s="138"/>
      <c r="AS18" s="138"/>
      <c r="AT18" s="138"/>
    </row>
    <row r="19" spans="1:46" ht="16.5" customHeight="1">
      <c r="A19" s="906" t="s">
        <v>118</v>
      </c>
      <c r="B19" s="906"/>
      <c r="C19" s="906"/>
      <c r="D19" s="906"/>
      <c r="E19" s="879"/>
      <c r="F19" s="921"/>
      <c r="G19" s="1014"/>
      <c r="H19" s="1014"/>
      <c r="I19" s="1014"/>
      <c r="J19" s="1014"/>
      <c r="K19" s="919" t="s">
        <v>14</v>
      </c>
      <c r="L19" s="919"/>
      <c r="M19" s="919"/>
      <c r="N19" s="920"/>
      <c r="P19" s="173"/>
      <c r="Q19" s="311"/>
      <c r="R19" s="312"/>
      <c r="S19" s="312"/>
      <c r="T19" s="312"/>
      <c r="U19" s="312"/>
      <c r="V19" s="345"/>
      <c r="W19" s="173"/>
      <c r="X19" s="173"/>
      <c r="Y19" s="173"/>
      <c r="Z19" s="173"/>
      <c r="AA19" s="173">
        <v>20</v>
      </c>
      <c r="AQ19" s="138"/>
      <c r="AR19" s="138"/>
      <c r="AS19" s="138"/>
      <c r="AT19" s="138"/>
    </row>
    <row r="20" spans="1:46" ht="16.5" customHeight="1">
      <c r="A20" s="906" t="s">
        <v>119</v>
      </c>
      <c r="B20" s="906"/>
      <c r="C20" s="906"/>
      <c r="D20" s="906"/>
      <c r="E20" s="879"/>
      <c r="F20" s="921"/>
      <c r="G20" s="1014"/>
      <c r="H20" s="1014"/>
      <c r="I20" s="1014"/>
      <c r="J20" s="1014"/>
      <c r="K20" s="919" t="s">
        <v>14</v>
      </c>
      <c r="L20" s="919"/>
      <c r="M20" s="919"/>
      <c r="N20" s="920"/>
      <c r="P20" s="173"/>
      <c r="Q20" s="311"/>
      <c r="R20" s="312"/>
      <c r="S20" s="312"/>
      <c r="T20" s="312"/>
      <c r="U20" s="312"/>
      <c r="V20" s="345"/>
      <c r="W20" s="173"/>
      <c r="X20" s="173"/>
      <c r="Y20" s="173"/>
      <c r="Z20" s="173"/>
      <c r="AA20" s="173">
        <v>30</v>
      </c>
      <c r="AQ20" s="138"/>
      <c r="AR20" s="138"/>
      <c r="AS20" s="138"/>
      <c r="AT20" s="138"/>
    </row>
    <row r="21" spans="1:46" ht="16.5" customHeight="1">
      <c r="A21" s="904" t="s">
        <v>120</v>
      </c>
      <c r="B21" s="904"/>
      <c r="C21" s="904"/>
      <c r="D21" s="904"/>
      <c r="E21" s="905"/>
      <c r="F21" s="921"/>
      <c r="G21" s="1014"/>
      <c r="H21" s="1014"/>
      <c r="I21" s="1014"/>
      <c r="J21" s="1014"/>
      <c r="K21" s="919" t="s">
        <v>14</v>
      </c>
      <c r="L21" s="919"/>
      <c r="M21" s="919"/>
      <c r="N21" s="920"/>
      <c r="P21" s="173"/>
      <c r="Q21" s="311"/>
      <c r="R21" s="312"/>
      <c r="S21" s="312"/>
      <c r="T21" s="312"/>
      <c r="U21" s="312"/>
      <c r="V21" s="345"/>
      <c r="W21" s="173"/>
      <c r="X21" s="173"/>
      <c r="Y21" s="173"/>
      <c r="Z21" s="173"/>
      <c r="AA21" s="173">
        <v>40</v>
      </c>
      <c r="AQ21" s="138"/>
      <c r="AR21" s="138"/>
      <c r="AS21" s="138"/>
      <c r="AT21" s="138"/>
    </row>
    <row r="22" spans="1:46" ht="16.5" customHeight="1">
      <c r="A22" s="906" t="s">
        <v>121</v>
      </c>
      <c r="B22" s="906"/>
      <c r="C22" s="906"/>
      <c r="D22" s="906"/>
      <c r="E22" s="879"/>
      <c r="F22" s="921"/>
      <c r="G22" s="1014"/>
      <c r="H22" s="1014"/>
      <c r="I22" s="1014"/>
      <c r="J22" s="1014"/>
      <c r="K22" s="919" t="s">
        <v>14</v>
      </c>
      <c r="L22" s="919"/>
      <c r="M22" s="919"/>
      <c r="N22" s="920"/>
      <c r="P22" s="173"/>
      <c r="Q22" s="311"/>
      <c r="R22" s="312"/>
      <c r="S22" s="312"/>
      <c r="T22" s="312"/>
      <c r="U22" s="312"/>
      <c r="V22" s="345"/>
      <c r="W22" s="173"/>
      <c r="X22" s="173"/>
      <c r="Y22" s="173"/>
      <c r="Z22" s="173"/>
      <c r="AA22" s="173">
        <v>50</v>
      </c>
      <c r="AQ22" s="138"/>
      <c r="AR22" s="138"/>
      <c r="AS22" s="138"/>
      <c r="AT22" s="138"/>
    </row>
    <row r="23" spans="1:46" ht="16.5" customHeight="1">
      <c r="A23" s="906" t="s">
        <v>122</v>
      </c>
      <c r="B23" s="906"/>
      <c r="C23" s="906"/>
      <c r="D23" s="906"/>
      <c r="E23" s="879"/>
      <c r="F23" s="921"/>
      <c r="G23" s="1014"/>
      <c r="H23" s="1014"/>
      <c r="I23" s="1014"/>
      <c r="J23" s="1014"/>
      <c r="K23" s="919" t="s">
        <v>14</v>
      </c>
      <c r="L23" s="919"/>
      <c r="M23" s="919"/>
      <c r="N23" s="920"/>
      <c r="P23" s="173"/>
      <c r="Q23" s="311"/>
      <c r="R23" s="312"/>
      <c r="S23" s="312"/>
      <c r="T23" s="312"/>
      <c r="U23" s="312"/>
      <c r="V23" s="345"/>
      <c r="W23" s="173"/>
      <c r="X23" s="173"/>
      <c r="Y23" s="173"/>
      <c r="Z23" s="173"/>
      <c r="AA23" s="173">
        <v>60</v>
      </c>
      <c r="AQ23" s="138"/>
      <c r="AR23" s="138"/>
      <c r="AS23" s="138"/>
      <c r="AT23" s="138"/>
    </row>
    <row r="24" spans="1:46" ht="16.5" customHeight="1">
      <c r="A24" s="906" t="s">
        <v>123</v>
      </c>
      <c r="B24" s="906"/>
      <c r="C24" s="906"/>
      <c r="D24" s="906"/>
      <c r="E24" s="879"/>
      <c r="F24" s="1021"/>
      <c r="G24" s="1021"/>
      <c r="H24" s="1021"/>
      <c r="I24" s="1021"/>
      <c r="J24" s="1021"/>
      <c r="K24" s="919" t="s">
        <v>14</v>
      </c>
      <c r="L24" s="919"/>
      <c r="M24" s="919"/>
      <c r="N24" s="920"/>
      <c r="P24" s="173"/>
      <c r="Q24" s="311"/>
      <c r="R24" s="312"/>
      <c r="S24" s="312"/>
      <c r="T24" s="312"/>
      <c r="U24" s="312"/>
      <c r="V24" s="345"/>
      <c r="W24" s="173"/>
      <c r="X24" s="173"/>
      <c r="Y24" s="173"/>
      <c r="Z24" s="173"/>
      <c r="AA24" s="173">
        <v>70</v>
      </c>
      <c r="AQ24" s="138"/>
      <c r="AR24" s="138"/>
      <c r="AS24" s="138"/>
      <c r="AT24" s="138"/>
    </row>
    <row r="25" spans="1:46" ht="16.5" customHeight="1">
      <c r="A25" s="906" t="s">
        <v>124</v>
      </c>
      <c r="B25" s="906"/>
      <c r="C25" s="906"/>
      <c r="D25" s="906"/>
      <c r="E25" s="879"/>
      <c r="F25" s="921">
        <v>0</v>
      </c>
      <c r="G25" s="921"/>
      <c r="H25" s="921"/>
      <c r="I25" s="921"/>
      <c r="J25" s="921"/>
      <c r="K25" s="878">
        <v>0</v>
      </c>
      <c r="L25" s="878"/>
      <c r="M25" s="878"/>
      <c r="N25" s="918"/>
      <c r="P25" s="173"/>
      <c r="Q25" s="311"/>
      <c r="R25" s="312"/>
      <c r="S25" s="312"/>
      <c r="T25" s="312"/>
      <c r="U25" s="312"/>
      <c r="V25" s="345"/>
      <c r="W25" s="173"/>
      <c r="X25" s="173"/>
      <c r="Y25" s="173"/>
      <c r="Z25" s="173"/>
      <c r="AA25" s="173">
        <v>80</v>
      </c>
      <c r="AQ25" s="138"/>
      <c r="AR25" s="138"/>
      <c r="AS25" s="138"/>
      <c r="AT25" s="138"/>
    </row>
    <row r="26" spans="1:46" ht="16.5" customHeight="1">
      <c r="A26" s="906" t="s">
        <v>257</v>
      </c>
      <c r="B26" s="906"/>
      <c r="C26" s="906"/>
      <c r="D26" s="906"/>
      <c r="E26" s="879"/>
      <c r="F26" s="921">
        <v>30</v>
      </c>
      <c r="G26" s="921"/>
      <c r="H26" s="921"/>
      <c r="I26" s="921"/>
      <c r="J26" s="921"/>
      <c r="K26" s="878">
        <v>30</v>
      </c>
      <c r="L26" s="878"/>
      <c r="M26" s="878"/>
      <c r="N26" s="918"/>
      <c r="P26" s="173"/>
      <c r="Q26" s="311"/>
      <c r="R26" s="312"/>
      <c r="S26" s="312"/>
      <c r="T26" s="312"/>
      <c r="U26" s="312"/>
      <c r="V26" s="345"/>
      <c r="W26" s="173"/>
      <c r="X26" s="173"/>
      <c r="Y26" s="173"/>
      <c r="Z26" s="173"/>
      <c r="AA26" s="173">
        <v>90</v>
      </c>
      <c r="AQ26" s="138"/>
      <c r="AR26" s="138"/>
      <c r="AS26" s="138"/>
      <c r="AT26" s="138"/>
    </row>
    <row r="27" spans="1:46" ht="16.5" customHeight="1" thickBot="1">
      <c r="A27" s="907" t="s">
        <v>7</v>
      </c>
      <c r="B27" s="907"/>
      <c r="C27" s="907"/>
      <c r="D27" s="907"/>
      <c r="E27" s="881"/>
      <c r="F27" s="943">
        <v>1</v>
      </c>
      <c r="G27" s="944"/>
      <c r="H27" s="944"/>
      <c r="I27" s="944"/>
      <c r="J27" s="944"/>
      <c r="K27" s="884">
        <v>1</v>
      </c>
      <c r="L27" s="884"/>
      <c r="M27" s="884"/>
      <c r="N27" s="1037"/>
      <c r="P27" s="173"/>
      <c r="Q27" s="311"/>
      <c r="R27" s="312"/>
      <c r="S27" s="312"/>
      <c r="T27" s="312"/>
      <c r="U27" s="312"/>
      <c r="V27" s="345"/>
      <c r="W27" s="173"/>
      <c r="X27" s="173"/>
      <c r="Y27" s="173"/>
      <c r="Z27" s="173"/>
      <c r="AA27" s="173">
        <v>100</v>
      </c>
      <c r="AQ27" s="138"/>
      <c r="AR27" s="138"/>
      <c r="AS27" s="138"/>
      <c r="AT27" s="138"/>
    </row>
    <row r="28" spans="1:46" ht="16.5" customHeight="1">
      <c r="A28" s="1045" t="s">
        <v>706</v>
      </c>
      <c r="B28" s="1045"/>
      <c r="C28" s="1045"/>
      <c r="D28" s="1045"/>
      <c r="E28" s="1045"/>
      <c r="F28" s="1045"/>
      <c r="G28" s="1045"/>
      <c r="H28" s="1045"/>
      <c r="I28" s="1045"/>
      <c r="J28" s="1045"/>
      <c r="K28" s="1045"/>
      <c r="L28" s="1045"/>
      <c r="M28" s="1045"/>
      <c r="N28" s="1045"/>
      <c r="O28" s="173"/>
      <c r="P28" s="173"/>
      <c r="Q28" s="311"/>
      <c r="R28" s="312"/>
      <c r="S28" s="312"/>
      <c r="T28" s="312"/>
      <c r="U28" s="312"/>
      <c r="V28" s="345"/>
      <c r="AA28" s="138" t="s">
        <v>54</v>
      </c>
      <c r="AB28" s="138"/>
      <c r="AC28" s="138"/>
      <c r="AD28" s="138"/>
      <c r="AE28" s="138"/>
      <c r="AF28" s="138"/>
      <c r="AG28" s="138"/>
      <c r="AH28" s="138"/>
      <c r="AI28" s="138"/>
      <c r="AJ28" s="138"/>
      <c r="AK28" s="138"/>
      <c r="AL28" s="138"/>
      <c r="AM28" s="138"/>
      <c r="AN28" s="138"/>
      <c r="AO28" s="138"/>
      <c r="AP28" s="138"/>
      <c r="AQ28" s="138"/>
      <c r="AR28" s="138"/>
      <c r="AS28" s="138"/>
      <c r="AT28" s="138"/>
    </row>
    <row r="29" spans="1:46" ht="16.5" customHeight="1">
      <c r="A29" s="995" t="s">
        <v>476</v>
      </c>
      <c r="B29" s="1017"/>
      <c r="C29" s="1017"/>
      <c r="D29" s="1017"/>
      <c r="E29" s="183" t="s">
        <v>438</v>
      </c>
      <c r="F29" s="1040" t="s">
        <v>473</v>
      </c>
      <c r="G29" s="1040"/>
      <c r="H29" s="910">
        <v>0</v>
      </c>
      <c r="I29" s="911"/>
      <c r="J29" s="233"/>
      <c r="K29" s="236"/>
      <c r="L29" s="236"/>
      <c r="M29" s="236"/>
      <c r="N29" s="225"/>
      <c r="O29" s="861" t="s">
        <v>631</v>
      </c>
      <c r="P29" s="173"/>
      <c r="Q29" s="311"/>
      <c r="R29" s="312"/>
      <c r="S29" s="312"/>
      <c r="T29" s="312"/>
      <c r="U29" s="312"/>
      <c r="V29" s="345"/>
      <c r="AA29" s="138"/>
      <c r="AB29" s="138"/>
      <c r="AC29" s="138"/>
      <c r="AD29" s="138"/>
      <c r="AE29" s="138"/>
      <c r="AF29" s="138"/>
      <c r="AG29" s="138"/>
      <c r="AH29" s="138"/>
      <c r="AI29" s="138"/>
      <c r="AJ29" s="138"/>
      <c r="AK29" s="138"/>
      <c r="AL29" s="138" t="s">
        <v>712</v>
      </c>
      <c r="AM29" s="138"/>
      <c r="AN29" s="138"/>
      <c r="AO29" s="138"/>
      <c r="AP29" s="138"/>
      <c r="AQ29" s="138"/>
      <c r="AR29" s="138"/>
      <c r="AS29" s="138"/>
      <c r="AT29" s="138"/>
    </row>
    <row r="30" spans="1:46" ht="16.5" customHeight="1">
      <c r="A30" s="995"/>
      <c r="B30" s="1017"/>
      <c r="C30" s="1017"/>
      <c r="D30" s="1017"/>
      <c r="E30" s="184" t="s">
        <v>91</v>
      </c>
      <c r="F30" s="1044" t="s">
        <v>474</v>
      </c>
      <c r="G30" s="1044"/>
      <c r="H30" s="908">
        <v>0</v>
      </c>
      <c r="I30" s="909"/>
      <c r="J30" s="234"/>
      <c r="K30" s="237"/>
      <c r="L30" s="237"/>
      <c r="M30" s="237"/>
      <c r="N30" s="224"/>
      <c r="O30" s="861"/>
      <c r="P30" s="173"/>
      <c r="Q30" s="311"/>
      <c r="R30" s="312"/>
      <c r="S30" s="312"/>
      <c r="T30" s="312"/>
      <c r="U30" s="312"/>
      <c r="V30" s="345"/>
      <c r="AA30" s="138"/>
      <c r="AB30" s="138"/>
      <c r="AC30" s="138"/>
      <c r="AD30" s="138"/>
      <c r="AE30" s="138"/>
      <c r="AF30" s="138"/>
      <c r="AG30" s="138"/>
      <c r="AH30" s="138"/>
      <c r="AI30" s="138"/>
      <c r="AJ30" s="138"/>
      <c r="AK30" s="138"/>
      <c r="AL30" s="356"/>
      <c r="AM30" s="138"/>
      <c r="AN30" s="138"/>
      <c r="AO30" s="138"/>
      <c r="AP30" s="138"/>
      <c r="AQ30" s="138"/>
      <c r="AR30" s="138"/>
      <c r="AS30" s="138"/>
      <c r="AT30" s="138"/>
    </row>
    <row r="31" spans="1:46" ht="16.5" customHeight="1">
      <c r="A31" s="995" t="s">
        <v>475</v>
      </c>
      <c r="B31" s="1017"/>
      <c r="C31" s="1017"/>
      <c r="D31" s="1017"/>
      <c r="E31" s="183" t="s">
        <v>438</v>
      </c>
      <c r="F31" s="1040" t="s">
        <v>473</v>
      </c>
      <c r="G31" s="1040"/>
      <c r="H31" s="910">
        <v>0</v>
      </c>
      <c r="I31" s="911"/>
      <c r="J31" s="234"/>
      <c r="K31" s="237"/>
      <c r="L31" s="234"/>
      <c r="M31" s="224"/>
      <c r="N31" s="224"/>
      <c r="O31" s="861"/>
      <c r="P31" s="173"/>
      <c r="Q31" s="311"/>
      <c r="R31" s="312"/>
      <c r="S31" s="312"/>
      <c r="T31" s="312"/>
      <c r="U31" s="312"/>
      <c r="V31" s="345"/>
      <c r="AA31" s="138"/>
      <c r="AB31" s="138"/>
      <c r="AC31" s="138"/>
      <c r="AD31" s="138"/>
      <c r="AE31" s="138"/>
      <c r="AF31" s="138"/>
      <c r="AG31" s="138"/>
      <c r="AH31" s="138"/>
      <c r="AI31" s="138"/>
      <c r="AJ31" s="138"/>
      <c r="AK31" s="138"/>
      <c r="AL31" s="138"/>
      <c r="AM31" s="138"/>
      <c r="AN31" s="138"/>
      <c r="AO31" s="138"/>
      <c r="AP31" s="138"/>
      <c r="AQ31" s="138"/>
      <c r="AR31" s="138"/>
      <c r="AS31" s="138"/>
      <c r="AT31" s="138"/>
    </row>
    <row r="32" spans="1:46" ht="16.5" customHeight="1">
      <c r="A32" s="995"/>
      <c r="B32" s="1017"/>
      <c r="C32" s="1017"/>
      <c r="D32" s="1017"/>
      <c r="E32" s="184" t="s">
        <v>91</v>
      </c>
      <c r="F32" s="1044" t="s">
        <v>474</v>
      </c>
      <c r="G32" s="1044"/>
      <c r="H32" s="908">
        <v>0</v>
      </c>
      <c r="I32" s="909"/>
      <c r="J32" s="234"/>
      <c r="K32" s="237"/>
      <c r="L32" s="234"/>
      <c r="M32" s="224"/>
      <c r="N32" s="224"/>
      <c r="O32" s="861"/>
      <c r="P32" s="173"/>
      <c r="Q32" s="311"/>
      <c r="R32" s="312"/>
      <c r="S32" s="312"/>
      <c r="T32" s="312"/>
      <c r="U32" s="312"/>
      <c r="V32" s="345"/>
      <c r="AA32" s="138"/>
      <c r="AB32" s="138"/>
      <c r="AC32" s="138"/>
      <c r="AD32" s="138"/>
      <c r="AE32" s="138"/>
      <c r="AF32" s="138"/>
      <c r="AG32" s="138"/>
      <c r="AH32" s="138"/>
      <c r="AI32" s="138"/>
      <c r="AJ32" s="138"/>
      <c r="AK32" s="138"/>
      <c r="AL32" s="138"/>
      <c r="AM32" s="138"/>
      <c r="AN32" s="138"/>
      <c r="AO32" s="138"/>
      <c r="AP32" s="138"/>
      <c r="AQ32" s="138"/>
      <c r="AR32" s="138"/>
      <c r="AS32" s="138"/>
      <c r="AT32" s="138"/>
    </row>
    <row r="33" spans="1:46" ht="16.5" customHeight="1">
      <c r="A33" s="995" t="s">
        <v>605</v>
      </c>
      <c r="B33" s="1017"/>
      <c r="C33" s="1017"/>
      <c r="D33" s="1017"/>
      <c r="E33" s="183" t="s">
        <v>438</v>
      </c>
      <c r="F33" s="1040" t="s">
        <v>473</v>
      </c>
      <c r="G33" s="1040"/>
      <c r="H33" s="910">
        <v>0</v>
      </c>
      <c r="I33" s="911"/>
      <c r="J33" s="234"/>
      <c r="K33" s="237"/>
      <c r="L33" s="234"/>
      <c r="M33" s="224"/>
      <c r="N33" s="224"/>
      <c r="O33" s="861"/>
      <c r="P33" s="173"/>
      <c r="Q33" s="311"/>
      <c r="R33" s="312"/>
      <c r="S33" s="312"/>
      <c r="T33" s="312"/>
      <c r="U33" s="312"/>
      <c r="V33" s="345"/>
      <c r="AA33" s="138"/>
      <c r="AB33" s="138"/>
      <c r="AC33" s="138"/>
      <c r="AD33" s="138"/>
      <c r="AE33" s="138"/>
      <c r="AF33" s="138"/>
      <c r="AG33" s="138"/>
      <c r="AH33" s="138"/>
      <c r="AI33" s="138"/>
      <c r="AJ33" s="138"/>
      <c r="AK33" s="138"/>
      <c r="AL33" s="138"/>
      <c r="AM33" s="138"/>
      <c r="AN33" s="138"/>
      <c r="AO33" s="138"/>
      <c r="AP33" s="138"/>
      <c r="AQ33" s="138"/>
      <c r="AR33" s="138"/>
      <c r="AS33" s="138"/>
      <c r="AT33" s="138"/>
    </row>
    <row r="34" spans="1:46" ht="16.5" customHeight="1" thickBot="1">
      <c r="A34" s="1048"/>
      <c r="B34" s="1040"/>
      <c r="C34" s="1040"/>
      <c r="D34" s="1040"/>
      <c r="E34" s="470" t="s">
        <v>91</v>
      </c>
      <c r="F34" s="1041" t="s">
        <v>474</v>
      </c>
      <c r="G34" s="1041"/>
      <c r="H34" s="945">
        <v>0</v>
      </c>
      <c r="I34" s="946"/>
      <c r="J34" s="234"/>
      <c r="K34" s="237"/>
      <c r="L34" s="234"/>
      <c r="M34" s="443"/>
      <c r="N34" s="443"/>
      <c r="O34" s="861"/>
      <c r="P34" s="173"/>
      <c r="Q34" s="311"/>
      <c r="R34" s="312"/>
      <c r="S34" s="312"/>
      <c r="T34" s="312"/>
      <c r="U34" s="312"/>
      <c r="V34" s="345"/>
      <c r="AA34" s="138"/>
      <c r="AB34" s="138"/>
      <c r="AC34" s="138"/>
      <c r="AD34" s="138"/>
      <c r="AE34" s="138"/>
      <c r="AF34" s="138"/>
      <c r="AG34" s="138"/>
      <c r="AH34" s="138"/>
      <c r="AI34" s="138"/>
      <c r="AJ34" s="138"/>
      <c r="AK34" s="138"/>
      <c r="AL34" s="138"/>
      <c r="AM34" s="138"/>
      <c r="AN34" s="138"/>
      <c r="AO34" s="138"/>
      <c r="AP34" s="138"/>
      <c r="AQ34" s="138"/>
      <c r="AR34" s="138"/>
      <c r="AS34" s="138"/>
      <c r="AT34" s="138"/>
    </row>
    <row r="35" spans="1:46" ht="16.5" customHeight="1" thickBot="1">
      <c r="A35" s="471" t="s">
        <v>705</v>
      </c>
      <c r="B35" s="471"/>
      <c r="C35" s="471"/>
      <c r="D35" s="471"/>
      <c r="E35" s="471"/>
      <c r="F35" s="471"/>
      <c r="G35" s="471"/>
      <c r="H35" s="471"/>
      <c r="I35" s="471"/>
      <c r="J35" s="471"/>
      <c r="K35" s="471"/>
      <c r="L35" s="471"/>
      <c r="M35" s="471"/>
      <c r="N35" s="471"/>
      <c r="O35" s="173"/>
      <c r="P35" s="173"/>
      <c r="Q35" s="311"/>
      <c r="R35" s="312"/>
      <c r="S35" s="312"/>
      <c r="T35" s="312"/>
      <c r="U35" s="312"/>
      <c r="V35" s="345"/>
      <c r="AA35" s="138"/>
      <c r="AB35" s="138"/>
      <c r="AC35" s="138"/>
      <c r="AD35" s="138"/>
      <c r="AE35" s="138"/>
      <c r="AF35" s="138"/>
      <c r="AG35" s="138"/>
      <c r="AH35" s="138"/>
      <c r="AI35" s="138"/>
      <c r="AJ35" s="138"/>
      <c r="AK35" s="138"/>
      <c r="AL35" s="138"/>
      <c r="AM35" s="138"/>
      <c r="AN35" s="138"/>
      <c r="AO35" s="138"/>
      <c r="AP35" s="138"/>
      <c r="AQ35" s="138"/>
      <c r="AR35" s="138"/>
      <c r="AS35" s="138"/>
      <c r="AT35" s="138"/>
    </row>
    <row r="36" spans="1:22" ht="12.75">
      <c r="A36" s="441"/>
      <c r="B36" s="441"/>
      <c r="C36" s="441"/>
      <c r="D36" s="441"/>
      <c r="E36" s="441"/>
      <c r="F36" s="441"/>
      <c r="G36" s="441"/>
      <c r="H36" s="441"/>
      <c r="I36" s="441"/>
      <c r="J36" s="441"/>
      <c r="K36" s="441"/>
      <c r="L36" s="441"/>
      <c r="M36" s="441"/>
      <c r="N36" s="441"/>
      <c r="O36" s="154"/>
      <c r="P36" s="134"/>
      <c r="Q36" s="311"/>
      <c r="R36" s="312"/>
      <c r="S36" s="312"/>
      <c r="T36" s="312"/>
      <c r="U36" s="312"/>
      <c r="V36" s="345"/>
    </row>
    <row r="37" spans="1:22" ht="12.75">
      <c r="A37" s="154"/>
      <c r="B37" s="154"/>
      <c r="C37" s="154"/>
      <c r="D37" s="154"/>
      <c r="E37" s="154"/>
      <c r="F37" s="154"/>
      <c r="G37" s="154"/>
      <c r="H37" s="154"/>
      <c r="I37" s="154"/>
      <c r="J37" s="154"/>
      <c r="K37" s="154"/>
      <c r="L37" s="154"/>
      <c r="M37" s="154"/>
      <c r="N37" s="154"/>
      <c r="O37" s="154"/>
      <c r="P37" s="134"/>
      <c r="Q37" s="311"/>
      <c r="R37" s="312"/>
      <c r="S37" s="312"/>
      <c r="T37" s="312"/>
      <c r="U37" s="312"/>
      <c r="V37" s="345"/>
    </row>
    <row r="38" spans="1:22" ht="12.75">
      <c r="A38" s="862" t="s">
        <v>485</v>
      </c>
      <c r="B38" s="862"/>
      <c r="C38" s="862"/>
      <c r="D38" s="862"/>
      <c r="E38" s="862"/>
      <c r="F38" s="862"/>
      <c r="G38" s="862"/>
      <c r="H38" s="862"/>
      <c r="I38" s="862"/>
      <c r="J38" s="862"/>
      <c r="K38" s="862"/>
      <c r="L38" s="862"/>
      <c r="M38" s="862"/>
      <c r="N38" s="862"/>
      <c r="Q38" s="311"/>
      <c r="R38" s="312"/>
      <c r="S38" s="312"/>
      <c r="T38" s="312"/>
      <c r="U38" s="312"/>
      <c r="V38" s="345"/>
    </row>
    <row r="39" spans="1:22" ht="13.5" thickBot="1">
      <c r="A39" s="863"/>
      <c r="B39" s="863"/>
      <c r="C39" s="863"/>
      <c r="D39" s="863"/>
      <c r="E39" s="863"/>
      <c r="F39" s="863"/>
      <c r="G39" s="863"/>
      <c r="H39" s="863"/>
      <c r="I39" s="863"/>
      <c r="J39" s="863"/>
      <c r="K39" s="863"/>
      <c r="L39" s="863"/>
      <c r="M39" s="863"/>
      <c r="N39" s="863"/>
      <c r="O39" s="137"/>
      <c r="P39" s="137"/>
      <c r="Q39" s="311"/>
      <c r="R39" s="312"/>
      <c r="S39" s="312"/>
      <c r="T39" s="312"/>
      <c r="U39" s="312"/>
      <c r="V39" s="345"/>
    </row>
    <row r="40" spans="1:22" ht="12.75">
      <c r="A40" s="891" t="s">
        <v>16</v>
      </c>
      <c r="B40" s="952"/>
      <c r="C40" s="875" t="s">
        <v>17</v>
      </c>
      <c r="D40" s="875"/>
      <c r="E40" s="952"/>
      <c r="F40" s="875" t="s">
        <v>18</v>
      </c>
      <c r="G40" s="952"/>
      <c r="H40" s="875" t="s">
        <v>19</v>
      </c>
      <c r="I40" s="952"/>
      <c r="J40" s="875" t="s">
        <v>20</v>
      </c>
      <c r="K40" s="952"/>
      <c r="L40" s="952"/>
      <c r="M40" s="875" t="s">
        <v>21</v>
      </c>
      <c r="N40" s="975"/>
      <c r="O40" s="154"/>
      <c r="P40" s="154"/>
      <c r="Q40" s="311"/>
      <c r="R40" s="312"/>
      <c r="S40" s="312"/>
      <c r="T40" s="312"/>
      <c r="U40" s="312"/>
      <c r="V40" s="345"/>
    </row>
    <row r="41" spans="1:22" ht="12.75">
      <c r="A41" s="1031" t="s">
        <v>132</v>
      </c>
      <c r="B41" s="1032"/>
      <c r="C41" s="1035" t="s">
        <v>147</v>
      </c>
      <c r="D41" s="1035"/>
      <c r="E41" s="1032"/>
      <c r="F41" s="1035" t="s">
        <v>80</v>
      </c>
      <c r="G41" s="1032"/>
      <c r="H41" s="1035" t="s">
        <v>25</v>
      </c>
      <c r="I41" s="1032"/>
      <c r="J41" s="1035" t="s">
        <v>26</v>
      </c>
      <c r="K41" s="1032"/>
      <c r="L41" s="1032"/>
      <c r="M41" s="1035" t="s">
        <v>77</v>
      </c>
      <c r="N41" s="1042"/>
      <c r="O41" s="202"/>
      <c r="P41" s="202"/>
      <c r="Q41" s="311"/>
      <c r="R41" s="312"/>
      <c r="S41" s="312"/>
      <c r="T41" s="312"/>
      <c r="U41" s="312"/>
      <c r="V41" s="345"/>
    </row>
    <row r="42" spans="1:22" ht="12.75">
      <c r="A42" s="1033"/>
      <c r="B42" s="1034"/>
      <c r="C42" s="1034"/>
      <c r="D42" s="1034"/>
      <c r="E42" s="1034"/>
      <c r="F42" s="1034"/>
      <c r="G42" s="1034"/>
      <c r="H42" s="1034"/>
      <c r="I42" s="1034"/>
      <c r="J42" s="1034"/>
      <c r="K42" s="1034"/>
      <c r="L42" s="1034"/>
      <c r="M42" s="1034"/>
      <c r="N42" s="1043"/>
      <c r="O42" s="202"/>
      <c r="P42" s="202"/>
      <c r="Q42" s="311"/>
      <c r="R42" s="312"/>
      <c r="S42" s="312"/>
      <c r="T42" s="312"/>
      <c r="U42" s="312"/>
      <c r="V42" s="345"/>
    </row>
    <row r="43" spans="1:73" ht="12.75">
      <c r="A43" s="947" t="s">
        <v>133</v>
      </c>
      <c r="B43" s="880"/>
      <c r="C43" s="1036" t="s">
        <v>148</v>
      </c>
      <c r="D43" s="1036"/>
      <c r="E43" s="880"/>
      <c r="F43" s="1036" t="s">
        <v>158</v>
      </c>
      <c r="G43" s="880"/>
      <c r="H43" s="1036" t="s">
        <v>160</v>
      </c>
      <c r="I43" s="880"/>
      <c r="J43" s="1036" t="s">
        <v>167</v>
      </c>
      <c r="K43" s="880"/>
      <c r="L43" s="880"/>
      <c r="M43" s="1036" t="s">
        <v>27</v>
      </c>
      <c r="N43" s="982"/>
      <c r="O43" s="154"/>
      <c r="P43" s="154"/>
      <c r="Q43" s="311"/>
      <c r="R43" s="312"/>
      <c r="S43" s="312"/>
      <c r="T43" s="312"/>
      <c r="U43" s="312"/>
      <c r="V43" s="345"/>
      <c r="BT43" s="134"/>
      <c r="BU43" s="134"/>
    </row>
    <row r="44" spans="1:73" ht="12.75">
      <c r="A44" s="888" t="s">
        <v>134</v>
      </c>
      <c r="B44" s="878"/>
      <c r="C44" s="878" t="s">
        <v>149</v>
      </c>
      <c r="D44" s="878"/>
      <c r="E44" s="878"/>
      <c r="F44" s="878" t="s">
        <v>390</v>
      </c>
      <c r="G44" s="880"/>
      <c r="H44" s="878" t="s">
        <v>161</v>
      </c>
      <c r="I44" s="878"/>
      <c r="J44" s="878" t="s">
        <v>168</v>
      </c>
      <c r="K44" s="880"/>
      <c r="L44" s="880"/>
      <c r="M44" s="953" t="s">
        <v>81</v>
      </c>
      <c r="N44" s="982"/>
      <c r="O44" s="154"/>
      <c r="P44" s="154"/>
      <c r="Q44" s="311"/>
      <c r="R44" s="312"/>
      <c r="S44" s="312"/>
      <c r="T44" s="312"/>
      <c r="U44" s="312"/>
      <c r="V44" s="345"/>
      <c r="BT44" s="147"/>
      <c r="BU44" s="147"/>
    </row>
    <row r="45" spans="1:73" ht="13.5" thickBot="1">
      <c r="A45" s="912">
        <f>1+$F$13*(IF($F$12="None",1,(IF($F$12="Parallel (Residential)",VLOOKUP($F$9,'Segment Tables'!$W$9:$AA$13,2,FALSE),(IF($F$12="Parallel (Comm/Ind)",VLOOKUP($F$9,'Segment Tables'!$W$9:$AA$13,3,FALSE),(IF($F$12="Angle (Residential)",(VLOOKUP($F$9,'Segment Tables'!$W$9:$AA$13,4,FALSE)),(VLOOKUP($F$9,'Segment Tables'!$W$9:$AA$13,5,FALSE)))))))))-1)</f>
        <v>1</v>
      </c>
      <c r="B45" s="913"/>
      <c r="C45" s="1015" t="e">
        <f>$AC$10</f>
        <v>#N/A</v>
      </c>
      <c r="D45" s="1016"/>
      <c r="E45" s="913"/>
      <c r="F45" s="1015">
        <f>IF(F9="4D",VLOOKUP(F14,'Segment Tables'!W41:Y51,3,FALSE),1)</f>
        <v>1</v>
      </c>
      <c r="G45" s="1039"/>
      <c r="H45" s="1015">
        <f>IF($F$15="Present",(1-($AG$10*(1-(0.72*$AG$6)-(0.83*$AG$8)))),1)</f>
        <v>1</v>
      </c>
      <c r="I45" s="1039"/>
      <c r="J45" s="1015">
        <f>IF($F$16="Present",0.95,1)</f>
        <v>1</v>
      </c>
      <c r="K45" s="912"/>
      <c r="L45" s="1039"/>
      <c r="M45" s="1015" t="e">
        <f>$A$45*$C$45*$F$45*$H$45*$J$45</f>
        <v>#N/A</v>
      </c>
      <c r="N45" s="1038"/>
      <c r="O45" s="133"/>
      <c r="P45" s="133"/>
      <c r="Q45" s="311"/>
      <c r="R45" s="312"/>
      <c r="S45" s="312"/>
      <c r="T45" s="312"/>
      <c r="U45" s="312"/>
      <c r="V45" s="345"/>
      <c r="BT45" s="133"/>
      <c r="BU45" s="133"/>
    </row>
    <row r="46" spans="17:73" ht="12.75">
      <c r="Q46" s="346"/>
      <c r="R46" s="347"/>
      <c r="S46" s="347"/>
      <c r="T46" s="347"/>
      <c r="U46" s="347"/>
      <c r="V46" s="348"/>
      <c r="BT46" s="147"/>
      <c r="BU46" s="134"/>
    </row>
    <row r="47" spans="3:73" ht="12.75">
      <c r="C47" s="1046"/>
      <c r="D47" s="1047"/>
      <c r="E47" s="1047"/>
      <c r="Q47" s="311"/>
      <c r="R47" s="312"/>
      <c r="S47" s="312"/>
      <c r="T47" s="312"/>
      <c r="U47" s="312"/>
      <c r="V47" s="345"/>
      <c r="BT47" s="147"/>
      <c r="BU47" s="134"/>
    </row>
    <row r="48" spans="1:73" ht="12.75">
      <c r="A48" s="862" t="s">
        <v>486</v>
      </c>
      <c r="B48" s="862"/>
      <c r="C48" s="862"/>
      <c r="D48" s="862"/>
      <c r="E48" s="862"/>
      <c r="F48" s="862"/>
      <c r="G48" s="862"/>
      <c r="H48" s="862"/>
      <c r="I48" s="862"/>
      <c r="J48" s="862"/>
      <c r="K48" s="862"/>
      <c r="L48" s="862"/>
      <c r="M48" s="862"/>
      <c r="N48" s="862"/>
      <c r="Q48" s="311"/>
      <c r="R48" s="312"/>
      <c r="S48" s="312"/>
      <c r="T48" s="312"/>
      <c r="U48" s="312"/>
      <c r="V48" s="345"/>
      <c r="BT48" s="175"/>
      <c r="BU48" s="134"/>
    </row>
    <row r="49" spans="1:73" ht="13.5" thickBot="1">
      <c r="A49" s="863"/>
      <c r="B49" s="863"/>
      <c r="C49" s="863"/>
      <c r="D49" s="863"/>
      <c r="E49" s="863"/>
      <c r="F49" s="863"/>
      <c r="G49" s="863"/>
      <c r="H49" s="863"/>
      <c r="I49" s="863"/>
      <c r="J49" s="863"/>
      <c r="K49" s="863"/>
      <c r="L49" s="863"/>
      <c r="M49" s="863"/>
      <c r="N49" s="863"/>
      <c r="O49" s="154"/>
      <c r="P49" s="154"/>
      <c r="Q49" s="311"/>
      <c r="R49" s="312"/>
      <c r="S49" s="312"/>
      <c r="T49" s="312"/>
      <c r="U49" s="312"/>
      <c r="V49" s="345"/>
      <c r="BT49" s="134"/>
      <c r="BU49" s="134"/>
    </row>
    <row r="50" spans="1:73" ht="12.75">
      <c r="A50" s="891" t="s">
        <v>16</v>
      </c>
      <c r="B50" s="952"/>
      <c r="C50" s="876" t="s">
        <v>17</v>
      </c>
      <c r="D50" s="891"/>
      <c r="E50" s="875" t="s">
        <v>18</v>
      </c>
      <c r="F50" s="952"/>
      <c r="G50" s="875" t="s">
        <v>19</v>
      </c>
      <c r="H50" s="952"/>
      <c r="I50" s="875" t="s">
        <v>20</v>
      </c>
      <c r="J50" s="952"/>
      <c r="K50" s="139" t="s">
        <v>21</v>
      </c>
      <c r="L50" s="139" t="s">
        <v>22</v>
      </c>
      <c r="M50" s="139" t="s">
        <v>23</v>
      </c>
      <c r="N50" s="140" t="s">
        <v>24</v>
      </c>
      <c r="O50" s="156"/>
      <c r="P50" s="156"/>
      <c r="Q50" s="311"/>
      <c r="R50" s="312"/>
      <c r="S50" s="312"/>
      <c r="T50" s="312"/>
      <c r="U50" s="312"/>
      <c r="V50" s="345"/>
      <c r="BT50" s="134"/>
      <c r="BU50" s="134"/>
    </row>
    <row r="51" spans="1:73" ht="12.75">
      <c r="A51" s="868" t="s">
        <v>28</v>
      </c>
      <c r="B51" s="992"/>
      <c r="C51" s="991" t="s">
        <v>82</v>
      </c>
      <c r="D51" s="914"/>
      <c r="E51" s="877" t="s">
        <v>29</v>
      </c>
      <c r="F51" s="977"/>
      <c r="G51" s="877" t="s">
        <v>509</v>
      </c>
      <c r="H51" s="877"/>
      <c r="I51" s="877" t="s">
        <v>169</v>
      </c>
      <c r="J51" s="914"/>
      <c r="K51" s="877" t="s">
        <v>510</v>
      </c>
      <c r="L51" s="877" t="s">
        <v>30</v>
      </c>
      <c r="M51" s="877" t="s">
        <v>7</v>
      </c>
      <c r="N51" s="978" t="s">
        <v>511</v>
      </c>
      <c r="O51" s="157"/>
      <c r="P51" s="157"/>
      <c r="Q51" s="311"/>
      <c r="R51" s="312"/>
      <c r="S51" s="312"/>
      <c r="T51" s="312"/>
      <c r="U51" s="312"/>
      <c r="V51" s="345"/>
      <c r="BT51" s="134"/>
      <c r="BU51" s="134"/>
    </row>
    <row r="52" spans="1:22" ht="15" customHeight="1">
      <c r="A52" s="993"/>
      <c r="B52" s="993"/>
      <c r="C52" s="977"/>
      <c r="D52" s="977"/>
      <c r="E52" s="977"/>
      <c r="F52" s="977"/>
      <c r="G52" s="977"/>
      <c r="H52" s="977"/>
      <c r="I52" s="914"/>
      <c r="J52" s="914"/>
      <c r="K52" s="914"/>
      <c r="L52" s="914"/>
      <c r="M52" s="914"/>
      <c r="N52" s="978"/>
      <c r="O52" s="157"/>
      <c r="P52" s="157"/>
      <c r="Q52" s="311"/>
      <c r="R52" s="312"/>
      <c r="S52" s="312"/>
      <c r="T52" s="312"/>
      <c r="U52" s="312"/>
      <c r="V52" s="345"/>
    </row>
    <row r="53" spans="1:22" ht="12.75">
      <c r="A53" s="993"/>
      <c r="B53" s="993"/>
      <c r="C53" s="878" t="s">
        <v>391</v>
      </c>
      <c r="D53" s="878"/>
      <c r="E53" s="914" t="s">
        <v>391</v>
      </c>
      <c r="F53" s="914"/>
      <c r="G53" s="914" t="s">
        <v>170</v>
      </c>
      <c r="H53" s="914"/>
      <c r="I53" s="914"/>
      <c r="J53" s="914"/>
      <c r="K53" s="914" t="s">
        <v>512</v>
      </c>
      <c r="L53" s="914" t="s">
        <v>171</v>
      </c>
      <c r="M53" s="977"/>
      <c r="N53" s="873" t="s">
        <v>172</v>
      </c>
      <c r="O53" s="141"/>
      <c r="P53" s="141"/>
      <c r="Q53" s="311"/>
      <c r="R53" s="312"/>
      <c r="S53" s="312"/>
      <c r="T53" s="312"/>
      <c r="U53" s="312"/>
      <c r="V53" s="345"/>
    </row>
    <row r="54" spans="1:22" ht="12.75">
      <c r="A54" s="994"/>
      <c r="B54" s="994"/>
      <c r="C54" s="142" t="s">
        <v>83</v>
      </c>
      <c r="D54" s="142" t="s">
        <v>84</v>
      </c>
      <c r="E54" s="977"/>
      <c r="F54" s="977"/>
      <c r="G54" s="977"/>
      <c r="H54" s="977"/>
      <c r="I54" s="914"/>
      <c r="J54" s="914"/>
      <c r="K54" s="977"/>
      <c r="L54" s="914"/>
      <c r="M54" s="977"/>
      <c r="N54" s="873"/>
      <c r="O54" s="141"/>
      <c r="P54" s="141"/>
      <c r="Q54" s="311"/>
      <c r="R54" s="312"/>
      <c r="S54" s="312"/>
      <c r="T54" s="312"/>
      <c r="U54" s="312"/>
      <c r="V54" s="345"/>
    </row>
    <row r="55" spans="1:22" ht="13.5" thickBot="1">
      <c r="A55" s="879" t="s">
        <v>31</v>
      </c>
      <c r="B55" s="982"/>
      <c r="C55" s="143" t="e">
        <f>VLOOKUP($F$9,'Segment Tables'!$A$8:$D$12,2,FALSE)</f>
        <v>#N/A</v>
      </c>
      <c r="D55" s="143" t="e">
        <f>VLOOKUP($F$9,'Segment Tables'!$A$8:$D$12,3,FALSE)</f>
        <v>#N/A</v>
      </c>
      <c r="E55" s="983" t="e">
        <f>VLOOKUP($F$9,'Segment Tables'!$A$8:$D$12,4,FALSE)</f>
        <v>#N/A</v>
      </c>
      <c r="F55" s="984"/>
      <c r="G55" s="887" t="e">
        <f>EXP($C55+($D55*LN($F$11))+LN($F$10))</f>
        <v>#N/A</v>
      </c>
      <c r="H55" s="950"/>
      <c r="I55" s="887">
        <v>1</v>
      </c>
      <c r="J55" s="950"/>
      <c r="K55" s="144" t="e">
        <f>G55*I55</f>
        <v>#N/A</v>
      </c>
      <c r="L55" s="143" t="e">
        <f>+M45</f>
        <v>#N/A</v>
      </c>
      <c r="M55" s="143">
        <f>+$F$27</f>
        <v>1</v>
      </c>
      <c r="N55" s="145" t="e">
        <f>+K55*L55*M55</f>
        <v>#N/A</v>
      </c>
      <c r="O55" s="146"/>
      <c r="P55" s="154"/>
      <c r="Q55" s="349"/>
      <c r="R55" s="318"/>
      <c r="S55" s="318"/>
      <c r="T55" s="318"/>
      <c r="U55" s="318"/>
      <c r="V55" s="350"/>
    </row>
    <row r="56" spans="1:17" ht="15" thickTop="1">
      <c r="A56" s="1005" t="s">
        <v>32</v>
      </c>
      <c r="B56" s="1005"/>
      <c r="C56" s="970" t="e">
        <f>VLOOKUP($F$9,'Segment Tables'!$A$14:$D$18,2,FALSE)</f>
        <v>#N/A</v>
      </c>
      <c r="D56" s="970" t="e">
        <f>VLOOKUP($F$9,'Segment Tables'!$A$14:$D$18,3,FALSE)</f>
        <v>#N/A</v>
      </c>
      <c r="E56" s="1002" t="e">
        <f>VLOOKUP($F$9,'Segment Tables'!$A$14:$D$18,4,FALSE)</f>
        <v>#N/A</v>
      </c>
      <c r="F56" s="1003"/>
      <c r="G56" s="972" t="e">
        <f>EXP($C56+($D56*LN($F$11))+LN($F$10))</f>
        <v>#N/A</v>
      </c>
      <c r="H56" s="1007"/>
      <c r="I56" s="878" t="s">
        <v>513</v>
      </c>
      <c r="J56" s="878"/>
      <c r="K56" s="928" t="e">
        <f>G55*I57</f>
        <v>#N/A</v>
      </c>
      <c r="L56" s="970" t="e">
        <f>+M45</f>
        <v>#N/A</v>
      </c>
      <c r="M56" s="970">
        <f>+$F$27</f>
        <v>1</v>
      </c>
      <c r="N56" s="972" t="e">
        <f>+K56*L56*M56</f>
        <v>#N/A</v>
      </c>
      <c r="O56" s="146"/>
      <c r="P56" s="154"/>
      <c r="Q56" s="154"/>
    </row>
    <row r="57" spans="1:17" ht="12.75">
      <c r="A57" s="1006"/>
      <c r="B57" s="1006"/>
      <c r="C57" s="963"/>
      <c r="D57" s="963"/>
      <c r="E57" s="964"/>
      <c r="F57" s="1004"/>
      <c r="G57" s="976"/>
      <c r="H57" s="1008"/>
      <c r="I57" s="887" t="e">
        <f>G56/(G56+G58)</f>
        <v>#N/A</v>
      </c>
      <c r="J57" s="950"/>
      <c r="K57" s="1009"/>
      <c r="L57" s="963"/>
      <c r="M57" s="963"/>
      <c r="N57" s="976"/>
      <c r="O57" s="146"/>
      <c r="P57" s="154"/>
      <c r="Q57" s="154"/>
    </row>
    <row r="58" spans="1:17" ht="14.25">
      <c r="A58" s="1018" t="s">
        <v>33</v>
      </c>
      <c r="B58" s="1019"/>
      <c r="C58" s="970" t="e">
        <f>VLOOKUP($F$9,'Segment Tables'!$A$20:$D$24,2,FALSE)</f>
        <v>#N/A</v>
      </c>
      <c r="D58" s="970" t="e">
        <f>VLOOKUP($F$9,'Segment Tables'!$A$20:$D$24,3,FALSE)</f>
        <v>#N/A</v>
      </c>
      <c r="E58" s="1002" t="e">
        <f>VLOOKUP($F$9,'Segment Tables'!$A$20:$D$24,4,FALSE)</f>
        <v>#N/A</v>
      </c>
      <c r="F58" s="1003"/>
      <c r="G58" s="972" t="e">
        <f>EXP($C58+($D58*LN($F$11))+LN($F$10))</f>
        <v>#N/A</v>
      </c>
      <c r="H58" s="1007"/>
      <c r="I58" s="878" t="s">
        <v>514</v>
      </c>
      <c r="J58" s="878"/>
      <c r="K58" s="928" t="e">
        <f>G55*I59</f>
        <v>#N/A</v>
      </c>
      <c r="L58" s="970" t="e">
        <f>+M45</f>
        <v>#N/A</v>
      </c>
      <c r="M58" s="970">
        <f>+$F$27</f>
        <v>1</v>
      </c>
      <c r="N58" s="972" t="e">
        <f>+K58*L58*M58</f>
        <v>#N/A</v>
      </c>
      <c r="O58" s="146"/>
      <c r="P58" s="154"/>
      <c r="Q58" s="154"/>
    </row>
    <row r="59" spans="1:17" ht="13.5" thickBot="1">
      <c r="A59" s="881"/>
      <c r="B59" s="1020"/>
      <c r="C59" s="971"/>
      <c r="D59" s="971"/>
      <c r="E59" s="1012"/>
      <c r="F59" s="1013"/>
      <c r="G59" s="973"/>
      <c r="H59" s="1010"/>
      <c r="I59" s="979" t="e">
        <f>I55-I57</f>
        <v>#N/A</v>
      </c>
      <c r="J59" s="980"/>
      <c r="K59" s="1011"/>
      <c r="L59" s="971"/>
      <c r="M59" s="971"/>
      <c r="N59" s="973"/>
      <c r="O59" s="146"/>
      <c r="P59" s="134"/>
      <c r="Q59" s="134"/>
    </row>
    <row r="60" spans="3:17" ht="14.25" customHeight="1">
      <c r="C60" s="134"/>
      <c r="D60" s="134"/>
      <c r="E60" s="134"/>
      <c r="F60" s="147"/>
      <c r="G60" s="133"/>
      <c r="H60" s="134"/>
      <c r="I60" s="134"/>
      <c r="J60" s="134"/>
      <c r="K60" s="134"/>
      <c r="L60" s="134"/>
      <c r="M60" s="147"/>
      <c r="N60" s="134"/>
      <c r="O60" s="134"/>
      <c r="P60" s="134"/>
      <c r="Q60" s="134"/>
    </row>
    <row r="61" spans="3:17" ht="12.75">
      <c r="C61" s="148"/>
      <c r="D61" s="133"/>
      <c r="E61" s="148"/>
      <c r="F61" s="149"/>
      <c r="G61" s="134"/>
      <c r="H61" s="134"/>
      <c r="I61" s="134"/>
      <c r="J61" s="150"/>
      <c r="K61" s="133"/>
      <c r="L61" s="134"/>
      <c r="M61" s="134"/>
      <c r="N61" s="134"/>
      <c r="O61" s="134"/>
      <c r="P61" s="134"/>
      <c r="Q61" s="134"/>
    </row>
    <row r="62" spans="1:17" ht="12.75">
      <c r="A62" s="862" t="s">
        <v>487</v>
      </c>
      <c r="B62" s="862"/>
      <c r="C62" s="862"/>
      <c r="D62" s="862"/>
      <c r="E62" s="862"/>
      <c r="F62" s="862"/>
      <c r="G62" s="862"/>
      <c r="H62" s="862"/>
      <c r="I62" s="862"/>
      <c r="J62" s="862"/>
      <c r="K62" s="862"/>
      <c r="L62" s="862"/>
      <c r="M62" s="862"/>
      <c r="N62" s="862"/>
      <c r="O62" s="133"/>
      <c r="P62" s="133"/>
      <c r="Q62" s="133"/>
    </row>
    <row r="63" spans="1:17" ht="13.5" thickBot="1">
      <c r="A63" s="863"/>
      <c r="B63" s="863"/>
      <c r="C63" s="863"/>
      <c r="D63" s="863"/>
      <c r="E63" s="863"/>
      <c r="F63" s="863"/>
      <c r="G63" s="863"/>
      <c r="H63" s="863"/>
      <c r="I63" s="863"/>
      <c r="J63" s="863"/>
      <c r="K63" s="863"/>
      <c r="L63" s="863"/>
      <c r="M63" s="863"/>
      <c r="N63" s="863"/>
      <c r="O63" s="137"/>
      <c r="P63" s="155"/>
      <c r="Q63" s="155"/>
    </row>
    <row r="64" spans="1:17" ht="12.75">
      <c r="A64" s="891" t="s">
        <v>16</v>
      </c>
      <c r="B64" s="952"/>
      <c r="C64" s="952"/>
      <c r="D64" s="875" t="s">
        <v>17</v>
      </c>
      <c r="E64" s="974"/>
      <c r="F64" s="875" t="s">
        <v>18</v>
      </c>
      <c r="G64" s="875"/>
      <c r="H64" s="875" t="s">
        <v>19</v>
      </c>
      <c r="I64" s="974"/>
      <c r="J64" s="875" t="s">
        <v>20</v>
      </c>
      <c r="K64" s="875"/>
      <c r="L64" s="875" t="s">
        <v>21</v>
      </c>
      <c r="M64" s="974"/>
      <c r="N64" s="975"/>
      <c r="O64" s="154"/>
      <c r="P64" s="155"/>
      <c r="Q64" s="155"/>
    </row>
    <row r="65" spans="1:17" ht="12.75">
      <c r="A65" s="1000" t="s">
        <v>34</v>
      </c>
      <c r="B65" s="877"/>
      <c r="C65" s="880"/>
      <c r="D65" s="877" t="s">
        <v>515</v>
      </c>
      <c r="E65" s="878"/>
      <c r="F65" s="877" t="s">
        <v>516</v>
      </c>
      <c r="G65" s="877"/>
      <c r="H65" s="877" t="s">
        <v>517</v>
      </c>
      <c r="I65" s="878"/>
      <c r="J65" s="877" t="s">
        <v>518</v>
      </c>
      <c r="K65" s="877"/>
      <c r="L65" s="877" t="s">
        <v>519</v>
      </c>
      <c r="M65" s="877"/>
      <c r="N65" s="918"/>
      <c r="O65" s="137"/>
      <c r="P65" s="155"/>
      <c r="Q65" s="155"/>
    </row>
    <row r="66" spans="1:17" ht="12.75">
      <c r="A66" s="1000"/>
      <c r="B66" s="877"/>
      <c r="C66" s="880"/>
      <c r="D66" s="878"/>
      <c r="E66" s="878"/>
      <c r="F66" s="878"/>
      <c r="G66" s="878"/>
      <c r="H66" s="878"/>
      <c r="I66" s="878"/>
      <c r="J66" s="878"/>
      <c r="K66" s="878"/>
      <c r="L66" s="878"/>
      <c r="M66" s="878"/>
      <c r="N66" s="918"/>
      <c r="O66" s="137"/>
      <c r="P66" s="133"/>
      <c r="Q66" s="133"/>
    </row>
    <row r="67" spans="1:17" ht="12.75">
      <c r="A67" s="888"/>
      <c r="B67" s="878"/>
      <c r="C67" s="880"/>
      <c r="D67" s="878"/>
      <c r="E67" s="878"/>
      <c r="F67" s="878"/>
      <c r="G67" s="878"/>
      <c r="H67" s="878"/>
      <c r="I67" s="878"/>
      <c r="J67" s="878"/>
      <c r="K67" s="878"/>
      <c r="L67" s="878"/>
      <c r="M67" s="878"/>
      <c r="N67" s="918"/>
      <c r="O67" s="137"/>
      <c r="P67" s="155"/>
      <c r="Q67" s="155"/>
    </row>
    <row r="68" spans="1:17" ht="12.75">
      <c r="A68" s="888"/>
      <c r="B68" s="878"/>
      <c r="C68" s="880"/>
      <c r="D68" s="914" t="s">
        <v>392</v>
      </c>
      <c r="E68" s="880"/>
      <c r="F68" s="953" t="s">
        <v>520</v>
      </c>
      <c r="G68" s="953"/>
      <c r="H68" s="914" t="s">
        <v>392</v>
      </c>
      <c r="I68" s="880"/>
      <c r="J68" s="953" t="s">
        <v>521</v>
      </c>
      <c r="K68" s="953"/>
      <c r="L68" s="953" t="s">
        <v>522</v>
      </c>
      <c r="M68" s="953"/>
      <c r="N68" s="982"/>
      <c r="O68" s="154"/>
      <c r="P68" s="125"/>
      <c r="Q68" s="125"/>
    </row>
    <row r="69" spans="1:15" ht="12.75">
      <c r="A69" s="888"/>
      <c r="B69" s="878"/>
      <c r="C69" s="880"/>
      <c r="D69" s="878"/>
      <c r="E69" s="880"/>
      <c r="F69" s="878"/>
      <c r="G69" s="878"/>
      <c r="H69" s="878"/>
      <c r="I69" s="880"/>
      <c r="J69" s="878"/>
      <c r="K69" s="878"/>
      <c r="L69" s="878"/>
      <c r="M69" s="878"/>
      <c r="N69" s="982"/>
      <c r="O69" s="154"/>
    </row>
    <row r="70" spans="1:17" ht="12.75">
      <c r="A70" s="879" t="s">
        <v>31</v>
      </c>
      <c r="B70" s="880"/>
      <c r="C70" s="880"/>
      <c r="D70" s="998">
        <v>1</v>
      </c>
      <c r="E70" s="998"/>
      <c r="F70" s="996" t="e">
        <f>+N56</f>
        <v>#N/A</v>
      </c>
      <c r="G70" s="999"/>
      <c r="H70" s="998">
        <v>1</v>
      </c>
      <c r="I70" s="998"/>
      <c r="J70" s="887" t="e">
        <f>+N58</f>
        <v>#N/A</v>
      </c>
      <c r="K70" s="888"/>
      <c r="L70" s="996" t="e">
        <f>+N55</f>
        <v>#N/A</v>
      </c>
      <c r="M70" s="997"/>
      <c r="N70" s="997"/>
      <c r="O70" s="133"/>
      <c r="P70" s="134"/>
      <c r="Q70" s="134"/>
    </row>
    <row r="71" spans="1:17" ht="14.25">
      <c r="A71" s="879"/>
      <c r="B71" s="880"/>
      <c r="C71" s="880"/>
      <c r="D71" s="880"/>
      <c r="E71" s="880"/>
      <c r="F71" s="919" t="s">
        <v>523</v>
      </c>
      <c r="G71" s="878"/>
      <c r="H71" s="880"/>
      <c r="I71" s="880"/>
      <c r="J71" s="919" t="s">
        <v>524</v>
      </c>
      <c r="K71" s="878"/>
      <c r="L71" s="919" t="s">
        <v>183</v>
      </c>
      <c r="M71" s="878"/>
      <c r="N71" s="918"/>
      <c r="O71" s="137"/>
      <c r="P71" s="137"/>
      <c r="Q71" s="137"/>
    </row>
    <row r="72" spans="1:17" ht="12.75">
      <c r="A72" s="995" t="s">
        <v>37</v>
      </c>
      <c r="B72" s="880"/>
      <c r="C72" s="880"/>
      <c r="D72" s="887" t="e">
        <f>IF('Segment Tables'!$B$30="No",HLOOKUP($F$9,'Segment Tables'!$C$32:$L$39,3,FALSE),HLOOKUP($F$9,'Segment Tables'!$C$42:$L$49,3,FALSE))</f>
        <v>#N/A</v>
      </c>
      <c r="E72" s="950"/>
      <c r="F72" s="887" t="e">
        <f aca="true" t="shared" si="0" ref="F72:F77">+$F$70*$D72</f>
        <v>#N/A</v>
      </c>
      <c r="G72" s="950"/>
      <c r="H72" s="887">
        <f>IF('Segment Tables'!$B$30="No",IF($F$9="2U",'Segment Tables'!D34,IF($F$9="3T",'Segment Tables'!F34,IF($F$9="4U",'Segment Tables'!H34,IF($F$9="4D",'Segment Tables'!J34,'Segment Tables'!L34)))),IF($F$9="2U",'Segment Tables'!D44,IF($F$9="3T",'Segment Tables'!F44,IF($F$9="4U",'Segment Tables'!H44,IF($F$9="4D",'Segment Tables'!J44,'Segment Tables'!L44)))))</f>
        <v>0.651</v>
      </c>
      <c r="I72" s="950"/>
      <c r="J72" s="887" t="e">
        <f aca="true" t="shared" si="1" ref="J72:J77">+$J$70*H72</f>
        <v>#N/A</v>
      </c>
      <c r="K72" s="950"/>
      <c r="L72" s="998" t="e">
        <f aca="true" t="shared" si="2" ref="L72:L77">+F72+J72</f>
        <v>#N/A</v>
      </c>
      <c r="M72" s="998"/>
      <c r="N72" s="996"/>
      <c r="O72" s="155"/>
      <c r="P72" s="137"/>
      <c r="Q72" s="137"/>
    </row>
    <row r="73" spans="1:17" ht="12.75">
      <c r="A73" s="981" t="s">
        <v>36</v>
      </c>
      <c r="B73" s="880"/>
      <c r="C73" s="880"/>
      <c r="D73" s="887" t="e">
        <f>IF('Segment Tables'!$B$30="No",HLOOKUP($F$9,'Segment Tables'!$C$32:$L$39,4,FALSE),HLOOKUP($F$9,'Segment Tables'!$C$42:$L$49,4,FALSE))</f>
        <v>#N/A</v>
      </c>
      <c r="E73" s="950"/>
      <c r="F73" s="887" t="e">
        <f t="shared" si="0"/>
        <v>#N/A</v>
      </c>
      <c r="G73" s="950"/>
      <c r="H73" s="887">
        <f>IF('Segment Tables'!$B$30="No",IF($F$9="2U",'Segment Tables'!D35,IF($F$9="3T",'Segment Tables'!F35,IF($F$9="4U",'Segment Tables'!H35,IF($F$9="4D",'Segment Tables'!J35,'Segment Tables'!L35)))),IF($F$9="2U",'Segment Tables'!D45,IF($F$9="3T",'Segment Tables'!F45,IF($F$9="4U",'Segment Tables'!H45,IF($F$9="4D",'Segment Tables'!J45,'Segment Tables'!L45)))))</f>
        <v>0.004</v>
      </c>
      <c r="I73" s="950"/>
      <c r="J73" s="887" t="e">
        <f t="shared" si="1"/>
        <v>#N/A</v>
      </c>
      <c r="K73" s="950"/>
      <c r="L73" s="998" t="e">
        <f t="shared" si="2"/>
        <v>#N/A</v>
      </c>
      <c r="M73" s="998"/>
      <c r="N73" s="996"/>
      <c r="O73" s="155"/>
      <c r="P73" s="157"/>
      <c r="Q73" s="157"/>
    </row>
    <row r="74" spans="1:17" ht="12.75">
      <c r="A74" s="981" t="s">
        <v>35</v>
      </c>
      <c r="B74" s="880"/>
      <c r="C74" s="880"/>
      <c r="D74" s="887" t="e">
        <f>IF('Segment Tables'!$B$30="No",HLOOKUP($F$9,'Segment Tables'!$C$32:$L$39,5,FALSE),HLOOKUP($F$9,'Segment Tables'!$C$42:$L$49,5,FALSE))</f>
        <v>#N/A</v>
      </c>
      <c r="E74" s="950"/>
      <c r="F74" s="887" t="e">
        <f t="shared" si="0"/>
        <v>#N/A</v>
      </c>
      <c r="G74" s="950"/>
      <c r="H74" s="887">
        <f>IF('Segment Tables'!$B$30="No",IF($F$9="2U",'Segment Tables'!D36,IF($F$9="3T",'Segment Tables'!F36,IF($F$9="4U",'Segment Tables'!H36,IF($F$9="4D",'Segment Tables'!J36,'Segment Tables'!L36)))),IF($F$9="2U",'Segment Tables'!D46,IF($F$9="3T",'Segment Tables'!F46,IF($F$9="4U",'Segment Tables'!H46,IF($F$9="4D",'Segment Tables'!J46,'Segment Tables'!L46)))))</f>
        <v>0.059</v>
      </c>
      <c r="I74" s="950"/>
      <c r="J74" s="887" t="e">
        <f t="shared" si="1"/>
        <v>#N/A</v>
      </c>
      <c r="K74" s="950"/>
      <c r="L74" s="998" t="e">
        <f t="shared" si="2"/>
        <v>#N/A</v>
      </c>
      <c r="M74" s="998"/>
      <c r="N74" s="996"/>
      <c r="O74" s="155"/>
      <c r="P74" s="137"/>
      <c r="Q74" s="137"/>
    </row>
    <row r="75" spans="1:17" ht="12.75">
      <c r="A75" s="981" t="s">
        <v>184</v>
      </c>
      <c r="B75" s="880"/>
      <c r="C75" s="880"/>
      <c r="D75" s="887" t="e">
        <f>IF('Segment Tables'!$B$30="No",HLOOKUP($F$9,'Segment Tables'!$C$32:$L$39,6,FALSE),HLOOKUP($F$9,'Segment Tables'!$C$42:$L$49,6,FALSE))</f>
        <v>#N/A</v>
      </c>
      <c r="E75" s="950"/>
      <c r="F75" s="887" t="e">
        <f t="shared" si="0"/>
        <v>#N/A</v>
      </c>
      <c r="G75" s="950"/>
      <c r="H75" s="887">
        <f>IF('Segment Tables'!$B$30="No",IF($F$9="2U",'Segment Tables'!D37,IF($F$9="3T",'Segment Tables'!F37,IF($F$9="4U",'Segment Tables'!H37,IF($F$9="4D",'Segment Tables'!J37,'Segment Tables'!L37)))),IF($F$9="2U",'Segment Tables'!D47,IF($F$9="3T",'Segment Tables'!F47,IF($F$9="4U",'Segment Tables'!H47,IF($F$9="4D",'Segment Tables'!J47,'Segment Tables'!L47)))))</f>
        <v>0.248</v>
      </c>
      <c r="I75" s="950"/>
      <c r="J75" s="887" t="e">
        <f t="shared" si="1"/>
        <v>#N/A</v>
      </c>
      <c r="K75" s="950"/>
      <c r="L75" s="998" t="e">
        <f t="shared" si="2"/>
        <v>#N/A</v>
      </c>
      <c r="M75" s="998"/>
      <c r="N75" s="996"/>
      <c r="O75" s="155"/>
      <c r="P75" s="137"/>
      <c r="Q75" s="137"/>
    </row>
    <row r="76" spans="1:17" ht="12.75">
      <c r="A76" s="981" t="s">
        <v>185</v>
      </c>
      <c r="B76" s="880"/>
      <c r="C76" s="880"/>
      <c r="D76" s="887" t="e">
        <f>IF('Segment Tables'!$B$30="No",HLOOKUP($F$9,'Segment Tables'!$C$32:$L$39,7,FALSE),HLOOKUP($F$9,'Segment Tables'!$C$42:$L$49,7,FALSE))</f>
        <v>#N/A</v>
      </c>
      <c r="E76" s="950"/>
      <c r="F76" s="887" t="e">
        <f t="shared" si="0"/>
        <v>#N/A</v>
      </c>
      <c r="G76" s="950"/>
      <c r="H76" s="887">
        <f>IF('Segment Tables'!$B$30="No",IF($F$9="2U",'Segment Tables'!D38,IF($F$9="3T",'Segment Tables'!F38,IF($F$9="4U",'Segment Tables'!H38,IF($F$9="4D",'Segment Tables'!J38,'Segment Tables'!L38)))),IF($F$9="2U",'Segment Tables'!D48,IF($F$9="3T",'Segment Tables'!F48,IF($F$9="4U",'Segment Tables'!H48,IF($F$9="4D",'Segment Tables'!J48,'Segment Tables'!L48)))))</f>
        <v>0.009</v>
      </c>
      <c r="I76" s="950"/>
      <c r="J76" s="887" t="e">
        <f t="shared" si="1"/>
        <v>#N/A</v>
      </c>
      <c r="K76" s="950"/>
      <c r="L76" s="998" t="e">
        <f t="shared" si="2"/>
        <v>#N/A</v>
      </c>
      <c r="M76" s="998"/>
      <c r="N76" s="996"/>
      <c r="O76" s="155"/>
      <c r="P76" s="153"/>
      <c r="Q76" s="153"/>
    </row>
    <row r="77" spans="1:17" ht="13.5" thickBot="1">
      <c r="A77" s="1001" t="s">
        <v>189</v>
      </c>
      <c r="B77" s="882"/>
      <c r="C77" s="882"/>
      <c r="D77" s="979" t="e">
        <f>IF('Segment Tables'!$B$30="No",HLOOKUP($F$9,'Segment Tables'!$C$32:$L$39,8,FALSE),HLOOKUP($F$9,'Segment Tables'!$C$42:$L$49,8,FALSE))</f>
        <v>#N/A</v>
      </c>
      <c r="E77" s="980"/>
      <c r="F77" s="979" t="e">
        <f t="shared" si="0"/>
        <v>#N/A</v>
      </c>
      <c r="G77" s="980"/>
      <c r="H77" s="979">
        <f>IF('Segment Tables'!$B$30="No",IF($F$9="2U",'Segment Tables'!D39,IF($F$9="3T",'Segment Tables'!F39,IF($F$9="4U",'Segment Tables'!H39,IF($F$9="4D",'Segment Tables'!J39,'Segment Tables'!L39)))),IF($F$9="2U",'Segment Tables'!D49,IF($F$9="3T",'Segment Tables'!F49,IF($F$9="4U",'Segment Tables'!H49,IF($F$9="4D",'Segment Tables'!J49,'Segment Tables'!L49)))))</f>
        <v>0.029</v>
      </c>
      <c r="I77" s="980"/>
      <c r="J77" s="979" t="e">
        <f t="shared" si="1"/>
        <v>#N/A</v>
      </c>
      <c r="K77" s="980"/>
      <c r="L77" s="965" t="e">
        <f t="shared" si="2"/>
        <v>#N/A</v>
      </c>
      <c r="M77" s="965"/>
      <c r="N77" s="966"/>
      <c r="O77" s="155"/>
      <c r="P77" s="137"/>
      <c r="Q77" s="137"/>
    </row>
    <row r="78" spans="1:17" ht="12.75">
      <c r="A78" s="154"/>
      <c r="B78" s="154"/>
      <c r="C78" s="155"/>
      <c r="D78" s="155"/>
      <c r="E78" s="155"/>
      <c r="F78" s="155"/>
      <c r="G78" s="155"/>
      <c r="H78" s="155"/>
      <c r="I78" s="155"/>
      <c r="J78" s="155"/>
      <c r="K78" s="155"/>
      <c r="L78" s="155"/>
      <c r="M78" s="155"/>
      <c r="N78" s="146"/>
      <c r="O78" s="146"/>
      <c r="P78" s="146"/>
      <c r="Q78" s="146"/>
    </row>
    <row r="79" spans="1:17" ht="12.75">
      <c r="A79" s="150"/>
      <c r="B79" s="150"/>
      <c r="C79" s="150"/>
      <c r="D79" s="150"/>
      <c r="E79" s="150"/>
      <c r="F79" s="150"/>
      <c r="G79" s="156"/>
      <c r="H79" s="154"/>
      <c r="I79" s="150"/>
      <c r="J79" s="150"/>
      <c r="K79" s="137"/>
      <c r="L79" s="150"/>
      <c r="M79" s="150"/>
      <c r="N79" s="137"/>
      <c r="O79" s="137"/>
      <c r="P79" s="137"/>
      <c r="Q79" s="137"/>
    </row>
    <row r="80" spans="1:17" ht="12.75">
      <c r="A80" s="862" t="s">
        <v>488</v>
      </c>
      <c r="B80" s="862"/>
      <c r="C80" s="862"/>
      <c r="D80" s="862"/>
      <c r="E80" s="862"/>
      <c r="F80" s="862"/>
      <c r="G80" s="862"/>
      <c r="H80" s="862"/>
      <c r="I80" s="862"/>
      <c r="J80" s="862"/>
      <c r="K80" s="862"/>
      <c r="L80" s="862"/>
      <c r="M80" s="862"/>
      <c r="N80" s="862"/>
      <c r="O80" s="137"/>
      <c r="P80" s="137"/>
      <c r="Q80" s="137"/>
    </row>
    <row r="81" spans="1:17" ht="13.5" thickBot="1">
      <c r="A81" s="863"/>
      <c r="B81" s="863"/>
      <c r="C81" s="863"/>
      <c r="D81" s="863"/>
      <c r="E81" s="863"/>
      <c r="F81" s="863"/>
      <c r="G81" s="863"/>
      <c r="H81" s="863"/>
      <c r="I81" s="863"/>
      <c r="J81" s="863"/>
      <c r="K81" s="863"/>
      <c r="L81" s="863"/>
      <c r="M81" s="863"/>
      <c r="N81" s="863"/>
      <c r="O81" s="154"/>
      <c r="P81" s="137"/>
      <c r="Q81" s="137"/>
    </row>
    <row r="82" spans="1:17" ht="13.5" customHeight="1">
      <c r="A82" s="891" t="s">
        <v>16</v>
      </c>
      <c r="B82" s="952"/>
      <c r="C82" s="876" t="s">
        <v>17</v>
      </c>
      <c r="D82" s="891"/>
      <c r="E82" s="875" t="s">
        <v>18</v>
      </c>
      <c r="F82" s="952"/>
      <c r="G82" s="875" t="s">
        <v>19</v>
      </c>
      <c r="H82" s="952"/>
      <c r="I82" s="875" t="s">
        <v>20</v>
      </c>
      <c r="J82" s="952"/>
      <c r="K82" s="139" t="s">
        <v>21</v>
      </c>
      <c r="L82" s="139" t="s">
        <v>22</v>
      </c>
      <c r="M82" s="139" t="s">
        <v>23</v>
      </c>
      <c r="N82" s="140" t="s">
        <v>24</v>
      </c>
      <c r="O82" s="156"/>
      <c r="P82" s="137"/>
      <c r="Q82" s="137"/>
    </row>
    <row r="83" spans="1:17" ht="12.75">
      <c r="A83" s="985" t="s">
        <v>28</v>
      </c>
      <c r="B83" s="986"/>
      <c r="C83" s="991" t="s">
        <v>82</v>
      </c>
      <c r="D83" s="914"/>
      <c r="E83" s="877" t="s">
        <v>29</v>
      </c>
      <c r="F83" s="977"/>
      <c r="G83" s="877" t="s">
        <v>525</v>
      </c>
      <c r="H83" s="877"/>
      <c r="I83" s="877" t="s">
        <v>169</v>
      </c>
      <c r="J83" s="914"/>
      <c r="K83" s="877" t="s">
        <v>526</v>
      </c>
      <c r="L83" s="877" t="s">
        <v>30</v>
      </c>
      <c r="M83" s="877" t="s">
        <v>7</v>
      </c>
      <c r="N83" s="978" t="s">
        <v>527</v>
      </c>
      <c r="O83" s="157"/>
      <c r="P83" s="137"/>
      <c r="Q83" s="137"/>
    </row>
    <row r="84" spans="1:17" ht="15.75" customHeight="1">
      <c r="A84" s="987"/>
      <c r="B84" s="988"/>
      <c r="C84" s="977"/>
      <c r="D84" s="977"/>
      <c r="E84" s="977"/>
      <c r="F84" s="977"/>
      <c r="G84" s="977"/>
      <c r="H84" s="977"/>
      <c r="I84" s="914"/>
      <c r="J84" s="914"/>
      <c r="K84" s="914"/>
      <c r="L84" s="914"/>
      <c r="M84" s="914"/>
      <c r="N84" s="978"/>
      <c r="O84" s="157"/>
      <c r="P84" s="137"/>
      <c r="Q84" s="137"/>
    </row>
    <row r="85" spans="1:17" ht="12.75">
      <c r="A85" s="987"/>
      <c r="B85" s="988"/>
      <c r="C85" s="878" t="s">
        <v>393</v>
      </c>
      <c r="D85" s="878"/>
      <c r="E85" s="914" t="s">
        <v>393</v>
      </c>
      <c r="F85" s="914"/>
      <c r="G85" s="914" t="s">
        <v>190</v>
      </c>
      <c r="H85" s="914"/>
      <c r="I85" s="914"/>
      <c r="J85" s="914"/>
      <c r="K85" s="914" t="s">
        <v>512</v>
      </c>
      <c r="L85" s="914" t="s">
        <v>171</v>
      </c>
      <c r="M85" s="977"/>
      <c r="N85" s="873" t="s">
        <v>172</v>
      </c>
      <c r="O85" s="141"/>
      <c r="P85" s="137"/>
      <c r="Q85" s="137"/>
    </row>
    <row r="86" spans="1:17" ht="12.75">
      <c r="A86" s="989"/>
      <c r="B86" s="990"/>
      <c r="C86" s="142" t="s">
        <v>83</v>
      </c>
      <c r="D86" s="142" t="s">
        <v>84</v>
      </c>
      <c r="E86" s="977"/>
      <c r="F86" s="977"/>
      <c r="G86" s="977"/>
      <c r="H86" s="977"/>
      <c r="I86" s="914"/>
      <c r="J86" s="914"/>
      <c r="K86" s="977"/>
      <c r="L86" s="914"/>
      <c r="M86" s="977"/>
      <c r="N86" s="873"/>
      <c r="O86" s="141"/>
      <c r="P86" s="137"/>
      <c r="Q86" s="137"/>
    </row>
    <row r="87" spans="1:17" ht="12.75">
      <c r="A87" s="879" t="s">
        <v>31</v>
      </c>
      <c r="B87" s="982"/>
      <c r="C87" s="143" t="e">
        <f>VLOOKUP($F$9,'Segment Tables'!$G$8:$J$12,2,FALSE)</f>
        <v>#N/A</v>
      </c>
      <c r="D87" s="143" t="e">
        <f>VLOOKUP($F$9,'Segment Tables'!$G$8:$J$12,3,FALSE)</f>
        <v>#N/A</v>
      </c>
      <c r="E87" s="983" t="e">
        <f>VLOOKUP($F$9,'Segment Tables'!$G$8:$J$12,4,FALSE)</f>
        <v>#N/A</v>
      </c>
      <c r="F87" s="984"/>
      <c r="G87" s="887" t="e">
        <f>EXP($C87+($D87*LN($F$11))+LN($F$10))</f>
        <v>#N/A</v>
      </c>
      <c r="H87" s="950"/>
      <c r="I87" s="887">
        <v>1</v>
      </c>
      <c r="J87" s="950"/>
      <c r="K87" s="144" t="e">
        <f>$G$87*I87</f>
        <v>#N/A</v>
      </c>
      <c r="L87" s="143" t="e">
        <f>+$M$45</f>
        <v>#N/A</v>
      </c>
      <c r="M87" s="143">
        <f>+$F$27</f>
        <v>1</v>
      </c>
      <c r="N87" s="145" t="e">
        <f>+K87*L87*M87</f>
        <v>#N/A</v>
      </c>
      <c r="O87" s="146"/>
      <c r="P87" s="146"/>
      <c r="Q87" s="146"/>
    </row>
    <row r="88" spans="1:17" ht="14.25">
      <c r="A88" s="1005" t="s">
        <v>32</v>
      </c>
      <c r="B88" s="1005"/>
      <c r="C88" s="970" t="e">
        <f>VLOOKUP($F$9,'Segment Tables'!$G$14:$J$18,2,FALSE)</f>
        <v>#N/A</v>
      </c>
      <c r="D88" s="970" t="e">
        <f>VLOOKUP($F$9,'Segment Tables'!$G$14:$J$18,3,FALSE)</f>
        <v>#N/A</v>
      </c>
      <c r="E88" s="1002" t="e">
        <f>VLOOKUP($F$9,'Segment Tables'!$G$14:$J$18,4,FALSE)</f>
        <v>#N/A</v>
      </c>
      <c r="F88" s="1003"/>
      <c r="G88" s="972" t="e">
        <f>EXP($C88+($D88*LN($F$11))+LN($F$10))</f>
        <v>#N/A</v>
      </c>
      <c r="H88" s="1007"/>
      <c r="I88" s="878" t="s">
        <v>513</v>
      </c>
      <c r="J88" s="878"/>
      <c r="K88" s="928" t="e">
        <f>$G$87*I89</f>
        <v>#N/A</v>
      </c>
      <c r="L88" s="970" t="e">
        <f>+$M$45</f>
        <v>#N/A</v>
      </c>
      <c r="M88" s="970">
        <f>+$F$27</f>
        <v>1</v>
      </c>
      <c r="N88" s="972" t="e">
        <f>+K88*L88*M88</f>
        <v>#N/A</v>
      </c>
      <c r="O88" s="146"/>
      <c r="P88" s="146"/>
      <c r="Q88" s="146"/>
    </row>
    <row r="89" spans="1:17" ht="12.75">
      <c r="A89" s="1006"/>
      <c r="B89" s="1006"/>
      <c r="C89" s="963"/>
      <c r="D89" s="963"/>
      <c r="E89" s="964"/>
      <c r="F89" s="1004"/>
      <c r="G89" s="976"/>
      <c r="H89" s="1008"/>
      <c r="I89" s="887" t="e">
        <f>G88/(G88+G90)</f>
        <v>#N/A</v>
      </c>
      <c r="J89" s="950"/>
      <c r="K89" s="1009"/>
      <c r="L89" s="963"/>
      <c r="M89" s="963"/>
      <c r="N89" s="976"/>
      <c r="O89" s="146"/>
      <c r="P89" s="146"/>
      <c r="Q89" s="146"/>
    </row>
    <row r="90" spans="1:17" ht="14.25">
      <c r="A90" s="1018" t="s">
        <v>33</v>
      </c>
      <c r="B90" s="1019"/>
      <c r="C90" s="970" t="e">
        <f>VLOOKUP($F$9,'Segment Tables'!$G$20:$J$24,2,FALSE)</f>
        <v>#N/A</v>
      </c>
      <c r="D90" s="970" t="e">
        <f>VLOOKUP($F$9,'Segment Tables'!$G$20:$J$24,3,FALSE)</f>
        <v>#N/A</v>
      </c>
      <c r="E90" s="1002" t="e">
        <f>VLOOKUP($F$9,'Segment Tables'!$G$20:$J$24,4,FALSE)</f>
        <v>#N/A</v>
      </c>
      <c r="F90" s="1003"/>
      <c r="G90" s="972" t="e">
        <f>EXP($C90+($D90*LN($F$11))+LN($F$10))</f>
        <v>#N/A</v>
      </c>
      <c r="H90" s="1007"/>
      <c r="I90" s="878" t="s">
        <v>514</v>
      </c>
      <c r="J90" s="878"/>
      <c r="K90" s="928" t="e">
        <f>$G$87*I91</f>
        <v>#N/A</v>
      </c>
      <c r="L90" s="970" t="e">
        <f>+$M$45</f>
        <v>#N/A</v>
      </c>
      <c r="M90" s="970">
        <f>+$F$27</f>
        <v>1</v>
      </c>
      <c r="N90" s="972" t="e">
        <f>+K90*L90*M90</f>
        <v>#N/A</v>
      </c>
      <c r="O90" s="146"/>
      <c r="P90" s="146"/>
      <c r="Q90" s="146"/>
    </row>
    <row r="91" spans="1:17" ht="13.5" thickBot="1">
      <c r="A91" s="881"/>
      <c r="B91" s="1020"/>
      <c r="C91" s="971"/>
      <c r="D91" s="971"/>
      <c r="E91" s="1012"/>
      <c r="F91" s="1013"/>
      <c r="G91" s="973"/>
      <c r="H91" s="1010"/>
      <c r="I91" s="979" t="e">
        <f>I87-I89</f>
        <v>#N/A</v>
      </c>
      <c r="J91" s="980"/>
      <c r="K91" s="1011"/>
      <c r="L91" s="971"/>
      <c r="M91" s="971"/>
      <c r="N91" s="973"/>
      <c r="O91" s="146"/>
      <c r="P91" s="146"/>
      <c r="Q91" s="146"/>
    </row>
    <row r="92" spans="1:17" ht="12.75">
      <c r="A92" s="154"/>
      <c r="B92" s="154"/>
      <c r="C92" s="155"/>
      <c r="D92" s="155"/>
      <c r="E92" s="155"/>
      <c r="F92" s="155"/>
      <c r="G92" s="155"/>
      <c r="H92" s="155"/>
      <c r="I92" s="155"/>
      <c r="J92" s="155"/>
      <c r="K92" s="155"/>
      <c r="L92" s="155"/>
      <c r="M92" s="155"/>
      <c r="N92" s="146"/>
      <c r="O92" s="146"/>
      <c r="P92" s="146"/>
      <c r="Q92" s="146"/>
    </row>
    <row r="93" spans="1:17" ht="12.75">
      <c r="A93" s="154"/>
      <c r="B93" s="154"/>
      <c r="C93" s="155"/>
      <c r="D93" s="155"/>
      <c r="E93" s="155"/>
      <c r="F93" s="155"/>
      <c r="G93" s="155"/>
      <c r="H93" s="155"/>
      <c r="I93" s="155"/>
      <c r="J93" s="155"/>
      <c r="K93" s="155"/>
      <c r="L93" s="155"/>
      <c r="M93" s="155"/>
      <c r="N93" s="146"/>
      <c r="O93" s="146"/>
      <c r="P93" s="146"/>
      <c r="Q93" s="146"/>
    </row>
    <row r="94" spans="1:17" ht="12.75">
      <c r="A94" s="862" t="s">
        <v>489</v>
      </c>
      <c r="B94" s="862"/>
      <c r="C94" s="862"/>
      <c r="D94" s="862"/>
      <c r="E94" s="862"/>
      <c r="F94" s="862"/>
      <c r="G94" s="862"/>
      <c r="H94" s="862"/>
      <c r="I94" s="862"/>
      <c r="J94" s="862"/>
      <c r="K94" s="862"/>
      <c r="L94" s="862"/>
      <c r="M94" s="862"/>
      <c r="N94" s="862"/>
      <c r="O94" s="146"/>
      <c r="P94" s="146"/>
      <c r="Q94" s="146"/>
    </row>
    <row r="95" spans="1:17" ht="13.5" thickBot="1">
      <c r="A95" s="863"/>
      <c r="B95" s="863"/>
      <c r="C95" s="863"/>
      <c r="D95" s="863"/>
      <c r="E95" s="863"/>
      <c r="F95" s="863"/>
      <c r="G95" s="863"/>
      <c r="H95" s="863"/>
      <c r="I95" s="863"/>
      <c r="J95" s="863"/>
      <c r="K95" s="863"/>
      <c r="L95" s="863"/>
      <c r="M95" s="863"/>
      <c r="N95" s="863"/>
      <c r="O95" s="137"/>
      <c r="P95" s="146"/>
      <c r="Q95" s="146"/>
    </row>
    <row r="96" spans="1:17" ht="12.75">
      <c r="A96" s="891" t="s">
        <v>16</v>
      </c>
      <c r="B96" s="952"/>
      <c r="C96" s="952"/>
      <c r="D96" s="875" t="s">
        <v>17</v>
      </c>
      <c r="E96" s="974"/>
      <c r="F96" s="875" t="s">
        <v>18</v>
      </c>
      <c r="G96" s="875"/>
      <c r="H96" s="875" t="s">
        <v>19</v>
      </c>
      <c r="I96" s="974"/>
      <c r="J96" s="875" t="s">
        <v>20</v>
      </c>
      <c r="K96" s="875"/>
      <c r="L96" s="875" t="s">
        <v>21</v>
      </c>
      <c r="M96" s="974"/>
      <c r="N96" s="975"/>
      <c r="O96" s="154"/>
      <c r="P96" s="146"/>
      <c r="Q96" s="146"/>
    </row>
    <row r="97" spans="1:17" ht="12.75">
      <c r="A97" s="985" t="s">
        <v>34</v>
      </c>
      <c r="B97" s="985"/>
      <c r="C97" s="1048"/>
      <c r="D97" s="877" t="s">
        <v>515</v>
      </c>
      <c r="E97" s="878"/>
      <c r="F97" s="877" t="s">
        <v>528</v>
      </c>
      <c r="G97" s="877"/>
      <c r="H97" s="877" t="s">
        <v>517</v>
      </c>
      <c r="I97" s="878"/>
      <c r="J97" s="877" t="s">
        <v>529</v>
      </c>
      <c r="K97" s="877"/>
      <c r="L97" s="877" t="s">
        <v>530</v>
      </c>
      <c r="M97" s="877"/>
      <c r="N97" s="918"/>
      <c r="O97" s="137"/>
      <c r="P97" s="146"/>
      <c r="Q97" s="146"/>
    </row>
    <row r="98" spans="1:17" ht="12.75">
      <c r="A98" s="1049"/>
      <c r="B98" s="1049"/>
      <c r="C98" s="1050"/>
      <c r="D98" s="878"/>
      <c r="E98" s="878"/>
      <c r="F98" s="878"/>
      <c r="G98" s="878"/>
      <c r="H98" s="878"/>
      <c r="I98" s="878"/>
      <c r="J98" s="878"/>
      <c r="K98" s="878"/>
      <c r="L98" s="878"/>
      <c r="M98" s="878"/>
      <c r="N98" s="918"/>
      <c r="O98" s="137"/>
      <c r="P98" s="146"/>
      <c r="Q98" s="146"/>
    </row>
    <row r="99" spans="1:17" ht="12.75">
      <c r="A99" s="1051"/>
      <c r="B99" s="1051"/>
      <c r="C99" s="1050"/>
      <c r="D99" s="878"/>
      <c r="E99" s="878"/>
      <c r="F99" s="878"/>
      <c r="G99" s="878"/>
      <c r="H99" s="878"/>
      <c r="I99" s="878"/>
      <c r="J99" s="878"/>
      <c r="K99" s="878"/>
      <c r="L99" s="878"/>
      <c r="M99" s="878"/>
      <c r="N99" s="918"/>
      <c r="O99" s="137"/>
      <c r="P99" s="146"/>
      <c r="Q99" s="146"/>
    </row>
    <row r="100" spans="1:17" ht="12.75">
      <c r="A100" s="1051"/>
      <c r="B100" s="1051"/>
      <c r="C100" s="1050"/>
      <c r="D100" s="914" t="s">
        <v>394</v>
      </c>
      <c r="E100" s="880"/>
      <c r="F100" s="953" t="s">
        <v>531</v>
      </c>
      <c r="G100" s="953"/>
      <c r="H100" s="914" t="s">
        <v>394</v>
      </c>
      <c r="I100" s="880"/>
      <c r="J100" s="953" t="s">
        <v>532</v>
      </c>
      <c r="K100" s="953"/>
      <c r="L100" s="953" t="s">
        <v>533</v>
      </c>
      <c r="M100" s="953"/>
      <c r="N100" s="982"/>
      <c r="O100" s="154"/>
      <c r="P100" s="146"/>
      <c r="Q100" s="146"/>
    </row>
    <row r="101" spans="1:17" ht="12.75">
      <c r="A101" s="1052"/>
      <c r="B101" s="1052"/>
      <c r="C101" s="1053"/>
      <c r="D101" s="878"/>
      <c r="E101" s="880"/>
      <c r="F101" s="878"/>
      <c r="G101" s="878"/>
      <c r="H101" s="878"/>
      <c r="I101" s="880"/>
      <c r="J101" s="878"/>
      <c r="K101" s="878"/>
      <c r="L101" s="878"/>
      <c r="M101" s="878"/>
      <c r="N101" s="982"/>
      <c r="O101" s="154"/>
      <c r="P101" s="146"/>
      <c r="Q101" s="146"/>
    </row>
    <row r="102" spans="1:17" ht="12.75">
      <c r="A102" s="879" t="s">
        <v>31</v>
      </c>
      <c r="B102" s="880"/>
      <c r="C102" s="880"/>
      <c r="D102" s="998">
        <v>1</v>
      </c>
      <c r="E102" s="998"/>
      <c r="F102" s="996" t="e">
        <f>+N88</f>
        <v>#N/A</v>
      </c>
      <c r="G102" s="999"/>
      <c r="H102" s="998">
        <v>1</v>
      </c>
      <c r="I102" s="998"/>
      <c r="J102" s="887" t="e">
        <f>+N90</f>
        <v>#N/A</v>
      </c>
      <c r="K102" s="888"/>
      <c r="L102" s="996" t="e">
        <f>+N87</f>
        <v>#N/A</v>
      </c>
      <c r="M102" s="997"/>
      <c r="N102" s="997"/>
      <c r="O102" s="133"/>
      <c r="P102" s="146"/>
      <c r="Q102" s="146"/>
    </row>
    <row r="103" spans="1:17" ht="14.25">
      <c r="A103" s="879"/>
      <c r="B103" s="880"/>
      <c r="C103" s="880"/>
      <c r="D103" s="880"/>
      <c r="E103" s="880"/>
      <c r="F103" s="919" t="s">
        <v>523</v>
      </c>
      <c r="G103" s="878"/>
      <c r="H103" s="880"/>
      <c r="I103" s="880"/>
      <c r="J103" s="919" t="s">
        <v>524</v>
      </c>
      <c r="K103" s="878"/>
      <c r="L103" s="919" t="s">
        <v>183</v>
      </c>
      <c r="M103" s="878"/>
      <c r="N103" s="918"/>
      <c r="O103" s="137"/>
      <c r="P103" s="146"/>
      <c r="Q103" s="146"/>
    </row>
    <row r="104" spans="1:17" ht="12.75">
      <c r="A104" s="995" t="s">
        <v>192</v>
      </c>
      <c r="B104" s="880"/>
      <c r="C104" s="880"/>
      <c r="D104" s="887" t="e">
        <f>IF('Segment Tables'!$B$55="No",HLOOKUP($F$9,'Segment Tables'!$C$57:$L$62,3,FALSE),HLOOKUP($F$9,'Segment Tables'!$C$65:$L$70,3,FALSE))</f>
        <v>#N/A</v>
      </c>
      <c r="E104" s="950"/>
      <c r="F104" s="887" t="e">
        <f>+$F$102*$D104</f>
        <v>#N/A</v>
      </c>
      <c r="G104" s="950"/>
      <c r="H104" s="887">
        <f>IF('Segment Tables'!$B$55="No",IF($F$9="2U",'Segment Tables'!D59,IF($F$9="3T",'Segment Tables'!F59,IF($F$9="4U",'Segment Tables'!H59,IF($F$9="4D",'Segment Tables'!J59,'Segment Tables'!L59)))),IF($F$9="2U",'Segment Tables'!D67,IF($F$9="3T",'Segment Tables'!F67,IF($F$9="4U",'Segment Tables'!H67,IF($F$9="4D",'Segment Tables'!J67,'Segment Tables'!L67)))))</f>
        <v>0.049</v>
      </c>
      <c r="I104" s="950"/>
      <c r="J104" s="887" t="e">
        <f>+$J$102*H104</f>
        <v>#N/A</v>
      </c>
      <c r="K104" s="950"/>
      <c r="L104" s="998" t="e">
        <f>+F104+J104</f>
        <v>#N/A</v>
      </c>
      <c r="M104" s="998"/>
      <c r="N104" s="996"/>
      <c r="O104" s="155"/>
      <c r="P104" s="146"/>
      <c r="Q104" s="146"/>
    </row>
    <row r="105" spans="1:17" ht="12.75">
      <c r="A105" s="981" t="s">
        <v>193</v>
      </c>
      <c r="B105" s="880"/>
      <c r="C105" s="880"/>
      <c r="D105" s="887" t="e">
        <f>IF('Segment Tables'!$B$55="No",HLOOKUP($F$9,'Segment Tables'!$C$57:$L$62,4,FALSE),HLOOKUP($F$9,'Segment Tables'!$C$65:$L$70,4,FALSE))</f>
        <v>#N/A</v>
      </c>
      <c r="E105" s="950"/>
      <c r="F105" s="887" t="e">
        <f>+$F$102*$D105</f>
        <v>#N/A</v>
      </c>
      <c r="G105" s="950"/>
      <c r="H105" s="887">
        <f>IF('Segment Tables'!$B$55="No",IF($F$9="2U",'Segment Tables'!D60,IF($F$9="3T",'Segment Tables'!F60,IF($F$9="4U",'Segment Tables'!H60,IF($F$9="4D",'Segment Tables'!J60,'Segment Tables'!L60)))),IF($F$9="2U",'Segment Tables'!D68,IF($F$9="3T",'Segment Tables'!F68,IF($F$9="4U",'Segment Tables'!H68,IF($F$9="4D",'Segment Tables'!J68,'Segment Tables'!L68)))))</f>
        <v>0.768</v>
      </c>
      <c r="I105" s="950"/>
      <c r="J105" s="887" t="e">
        <f>+$J$102*H105</f>
        <v>#N/A</v>
      </c>
      <c r="K105" s="950"/>
      <c r="L105" s="998" t="e">
        <f>+F105+J105</f>
        <v>#N/A</v>
      </c>
      <c r="M105" s="998"/>
      <c r="N105" s="996"/>
      <c r="O105" s="155"/>
      <c r="P105" s="146"/>
      <c r="Q105" s="146"/>
    </row>
    <row r="106" spans="1:17" ht="12.75">
      <c r="A106" s="981" t="s">
        <v>194</v>
      </c>
      <c r="B106" s="880"/>
      <c r="C106" s="880"/>
      <c r="D106" s="887" t="e">
        <f>IF('Segment Tables'!$B$55="No",HLOOKUP($F$9,'Segment Tables'!$C$57:$L$62,5,FALSE),HLOOKUP($F$9,'Segment Tables'!$C$65:$L$70,5,FALSE))</f>
        <v>#N/A</v>
      </c>
      <c r="E106" s="950"/>
      <c r="F106" s="887" t="e">
        <f>+$F$102*$D106</f>
        <v>#N/A</v>
      </c>
      <c r="G106" s="950"/>
      <c r="H106" s="887">
        <f>IF('Segment Tables'!$B$55="No",IF($F$9="2U",'Segment Tables'!D61,IF($F$9="3T",'Segment Tables'!F61,IF($F$9="4U",'Segment Tables'!H61,IF($F$9="4D",'Segment Tables'!J61,'Segment Tables'!L61)))),IF($F$9="2U",'Segment Tables'!D69,IF($F$9="3T",'Segment Tables'!F69,IF($F$9="4U",'Segment Tables'!H69,IF($F$9="4D",'Segment Tables'!J69,'Segment Tables'!L69)))))</f>
        <v>0.061</v>
      </c>
      <c r="I106" s="950"/>
      <c r="J106" s="887" t="e">
        <f>+$J$102*H106</f>
        <v>#N/A</v>
      </c>
      <c r="K106" s="950"/>
      <c r="L106" s="998" t="e">
        <f>+F106+J106</f>
        <v>#N/A</v>
      </c>
      <c r="M106" s="998"/>
      <c r="N106" s="996"/>
      <c r="O106" s="155"/>
      <c r="P106" s="146"/>
      <c r="Q106" s="146"/>
    </row>
    <row r="107" spans="1:17" ht="13.5" thickBot="1">
      <c r="A107" s="1001" t="s">
        <v>195</v>
      </c>
      <c r="B107" s="882"/>
      <c r="C107" s="882"/>
      <c r="D107" s="979" t="e">
        <f>IF('Segment Tables'!$B$55="No",HLOOKUP($F$9,'Segment Tables'!$C$57:$L$62,6,FALSE),HLOOKUP($F$9,'Segment Tables'!$C$65:$L$70,6,FALSE))</f>
        <v>#N/A</v>
      </c>
      <c r="E107" s="980"/>
      <c r="F107" s="979" t="e">
        <f>+$F$102*$D107</f>
        <v>#N/A</v>
      </c>
      <c r="G107" s="980"/>
      <c r="H107" s="979">
        <f>IF('Segment Tables'!$B$55="No",IF($F$9="2U",'Segment Tables'!D62,IF($F$9="3T",'Segment Tables'!F62,IF($F$9="4U",'Segment Tables'!H62,IF($F$9="4D",'Segment Tables'!J62,'Segment Tables'!L62)))),IF($F$9="2U",'Segment Tables'!D70,IF($F$9="3T",'Segment Tables'!F70,IF($F$9="4U",'Segment Tables'!H70,IF($F$9="4D",'Segment Tables'!J70,'Segment Tables'!L70)))))</f>
        <v>0.122</v>
      </c>
      <c r="I107" s="980"/>
      <c r="J107" s="979" t="e">
        <f>+$J$102*H107</f>
        <v>#N/A</v>
      </c>
      <c r="K107" s="980"/>
      <c r="L107" s="965" t="e">
        <f>+F107+J107</f>
        <v>#N/A</v>
      </c>
      <c r="M107" s="965"/>
      <c r="N107" s="966"/>
      <c r="O107" s="155"/>
      <c r="P107" s="146"/>
      <c r="Q107" s="146"/>
    </row>
    <row r="108" spans="1:17" ht="12.75">
      <c r="A108" s="154"/>
      <c r="B108" s="154"/>
      <c r="C108" s="155"/>
      <c r="D108" s="155"/>
      <c r="E108" s="155"/>
      <c r="F108" s="155"/>
      <c r="G108" s="155"/>
      <c r="H108" s="155"/>
      <c r="I108" s="155"/>
      <c r="J108" s="155"/>
      <c r="K108" s="155"/>
      <c r="L108" s="155"/>
      <c r="M108" s="155"/>
      <c r="N108" s="146"/>
      <c r="O108" s="146"/>
      <c r="P108" s="146"/>
      <c r="Q108" s="146"/>
    </row>
    <row r="109" spans="1:17" ht="12.75">
      <c r="A109" s="154"/>
      <c r="B109" s="154"/>
      <c r="C109" s="155"/>
      <c r="D109" s="155"/>
      <c r="E109" s="155"/>
      <c r="F109" s="155"/>
      <c r="G109" s="155"/>
      <c r="H109" s="155"/>
      <c r="I109" s="155"/>
      <c r="J109" s="155"/>
      <c r="K109" s="155"/>
      <c r="L109" s="155"/>
      <c r="M109" s="155"/>
      <c r="N109" s="146"/>
      <c r="O109" s="146"/>
      <c r="P109" s="146"/>
      <c r="Q109" s="146"/>
    </row>
    <row r="110" spans="1:17" ht="12.75">
      <c r="A110" s="862" t="s">
        <v>490</v>
      </c>
      <c r="B110" s="862"/>
      <c r="C110" s="862"/>
      <c r="D110" s="862"/>
      <c r="E110" s="862"/>
      <c r="F110" s="862"/>
      <c r="G110" s="862"/>
      <c r="H110" s="862"/>
      <c r="I110" s="862"/>
      <c r="J110" s="862"/>
      <c r="K110" s="862"/>
      <c r="L110" s="862"/>
      <c r="M110" s="862"/>
      <c r="N110" s="862"/>
      <c r="O110" s="146"/>
      <c r="P110" s="146"/>
      <c r="Q110" s="146"/>
    </row>
    <row r="111" spans="1:17" ht="13.5" thickBot="1">
      <c r="A111" s="863"/>
      <c r="B111" s="863"/>
      <c r="C111" s="863"/>
      <c r="D111" s="862"/>
      <c r="E111" s="862"/>
      <c r="F111" s="862"/>
      <c r="G111" s="862"/>
      <c r="H111" s="862"/>
      <c r="I111" s="862"/>
      <c r="J111" s="862"/>
      <c r="K111" s="862"/>
      <c r="L111" s="862"/>
      <c r="M111" s="862"/>
      <c r="N111" s="862"/>
      <c r="O111" s="137"/>
      <c r="P111" s="146"/>
      <c r="Q111" s="146"/>
    </row>
    <row r="112" spans="1:17" ht="12.75">
      <c r="A112" s="923" t="s">
        <v>16</v>
      </c>
      <c r="B112" s="924"/>
      <c r="C112" s="924"/>
      <c r="D112" s="951" t="s">
        <v>17</v>
      </c>
      <c r="E112" s="974"/>
      <c r="F112" s="951" t="s">
        <v>18</v>
      </c>
      <c r="G112" s="974"/>
      <c r="H112" s="951" t="s">
        <v>19</v>
      </c>
      <c r="I112" s="952"/>
      <c r="J112" s="951" t="s">
        <v>20</v>
      </c>
      <c r="K112" s="952"/>
      <c r="L112" s="952"/>
      <c r="M112" s="951" t="s">
        <v>21</v>
      </c>
      <c r="N112" s="969"/>
      <c r="O112" s="137"/>
      <c r="P112" s="146"/>
      <c r="Q112" s="146"/>
    </row>
    <row r="113" spans="1:17" ht="12.75">
      <c r="A113" s="1069" t="s">
        <v>196</v>
      </c>
      <c r="B113" s="1032"/>
      <c r="C113" s="1032"/>
      <c r="D113" s="967" t="s">
        <v>534</v>
      </c>
      <c r="E113" s="967"/>
      <c r="F113" s="967" t="s">
        <v>535</v>
      </c>
      <c r="G113" s="967"/>
      <c r="H113" s="967" t="s">
        <v>198</v>
      </c>
      <c r="I113" s="967"/>
      <c r="J113" s="967" t="s">
        <v>536</v>
      </c>
      <c r="K113" s="967"/>
      <c r="L113" s="967"/>
      <c r="M113" s="967" t="s">
        <v>197</v>
      </c>
      <c r="N113" s="867"/>
      <c r="O113" s="157"/>
      <c r="P113" s="203"/>
      <c r="Q113" s="203"/>
    </row>
    <row r="114" spans="1:17" ht="15.75" customHeight="1">
      <c r="A114" s="1070"/>
      <c r="B114" s="1071"/>
      <c r="C114" s="1071"/>
      <c r="D114" s="1055"/>
      <c r="E114" s="1055"/>
      <c r="F114" s="968"/>
      <c r="G114" s="968"/>
      <c r="H114" s="968"/>
      <c r="I114" s="968"/>
      <c r="J114" s="968"/>
      <c r="K114" s="968"/>
      <c r="L114" s="968"/>
      <c r="M114" s="968"/>
      <c r="N114" s="869"/>
      <c r="O114" s="157"/>
      <c r="P114" s="154"/>
      <c r="Q114" s="154"/>
    </row>
    <row r="115" spans="1:17" ht="12.75">
      <c r="A115" s="1070"/>
      <c r="B115" s="1071"/>
      <c r="C115" s="1071"/>
      <c r="D115" s="1055"/>
      <c r="E115" s="1055"/>
      <c r="F115" s="1035" t="s">
        <v>395</v>
      </c>
      <c r="G115" s="1035"/>
      <c r="H115" s="1035" t="s">
        <v>395</v>
      </c>
      <c r="I115" s="1035"/>
      <c r="J115" s="929" t="s">
        <v>199</v>
      </c>
      <c r="K115" s="929"/>
      <c r="L115" s="929"/>
      <c r="M115" s="929" t="s">
        <v>395</v>
      </c>
      <c r="N115" s="958"/>
      <c r="O115" s="137"/>
      <c r="P115" s="154"/>
      <c r="Q115" s="154"/>
    </row>
    <row r="116" spans="1:17" ht="15">
      <c r="A116" s="1033"/>
      <c r="B116" s="1034"/>
      <c r="C116" s="1034"/>
      <c r="D116" s="1054"/>
      <c r="E116" s="1054"/>
      <c r="F116" s="1054"/>
      <c r="G116" s="1054"/>
      <c r="H116" s="1054"/>
      <c r="I116" s="1054"/>
      <c r="J116" s="878" t="s">
        <v>537</v>
      </c>
      <c r="K116" s="878"/>
      <c r="L116" s="878"/>
      <c r="M116" s="963"/>
      <c r="N116" s="964"/>
      <c r="O116" s="137"/>
      <c r="P116" s="158"/>
      <c r="Q116" s="158"/>
    </row>
    <row r="117" spans="1:17" ht="12.75">
      <c r="A117" s="1072" t="s">
        <v>200</v>
      </c>
      <c r="B117" s="1017"/>
      <c r="C117" s="1017"/>
      <c r="D117" s="1057">
        <f aca="true" t="shared" si="3" ref="D117:D123">+F17</f>
        <v>0</v>
      </c>
      <c r="E117" s="1057"/>
      <c r="F117" s="927" t="e">
        <f>HLOOKUP($F$9,'Segment Tables'!$P$5:$T$13,3,FALSE)</f>
        <v>#N/A</v>
      </c>
      <c r="G117" s="927"/>
      <c r="H117" s="927" t="e">
        <f>HLOOKUP($F$9,'Segment Tables'!$P$5:$T$21,11,FALSE)</f>
        <v>#N/A</v>
      </c>
      <c r="I117" s="927"/>
      <c r="J117" s="927" t="e">
        <f aca="true" t="shared" si="4" ref="J117:J123">POWER(($F$11/15000),H117)*D117*F117</f>
        <v>#N/A</v>
      </c>
      <c r="K117" s="927"/>
      <c r="L117" s="927"/>
      <c r="M117" s="1059" t="s">
        <v>14</v>
      </c>
      <c r="N117" s="1060"/>
      <c r="O117" s="141"/>
      <c r="P117" s="137"/>
      <c r="Q117" s="137"/>
    </row>
    <row r="118" spans="1:17" ht="12.75">
      <c r="A118" s="905" t="s">
        <v>201</v>
      </c>
      <c r="B118" s="880"/>
      <c r="C118" s="880"/>
      <c r="D118" s="1057">
        <f t="shared" si="3"/>
        <v>0</v>
      </c>
      <c r="E118" s="1057"/>
      <c r="F118" s="927" t="e">
        <f>HLOOKUP($F$9,'Segment Tables'!$P$5:$T$13,4,FALSE)</f>
        <v>#N/A</v>
      </c>
      <c r="G118" s="927"/>
      <c r="H118" s="927" t="e">
        <f>HLOOKUP($F$9,'Segment Tables'!$P$5:$T$21,11,FALSE)</f>
        <v>#N/A</v>
      </c>
      <c r="I118" s="927"/>
      <c r="J118" s="927" t="e">
        <f t="shared" si="4"/>
        <v>#N/A</v>
      </c>
      <c r="K118" s="927"/>
      <c r="L118" s="927"/>
      <c r="M118" s="1061"/>
      <c r="N118" s="1062"/>
      <c r="O118" s="141"/>
      <c r="P118" s="158"/>
      <c r="Q118" s="158"/>
    </row>
    <row r="119" spans="1:17" ht="12.75">
      <c r="A119" s="879" t="s">
        <v>202</v>
      </c>
      <c r="B119" s="880"/>
      <c r="C119" s="880"/>
      <c r="D119" s="1057">
        <f t="shared" si="3"/>
        <v>0</v>
      </c>
      <c r="E119" s="1057"/>
      <c r="F119" s="927" t="e">
        <f>HLOOKUP($F$9,'Segment Tables'!$P$5:$T$13,5,FALSE)</f>
        <v>#N/A</v>
      </c>
      <c r="G119" s="927"/>
      <c r="H119" s="927" t="e">
        <f>HLOOKUP($F$9,'Segment Tables'!$P$5:$T$21,11,FALSE)</f>
        <v>#N/A</v>
      </c>
      <c r="I119" s="927"/>
      <c r="J119" s="927" t="e">
        <f t="shared" si="4"/>
        <v>#N/A</v>
      </c>
      <c r="K119" s="927"/>
      <c r="L119" s="927"/>
      <c r="M119" s="1061"/>
      <c r="N119" s="1062"/>
      <c r="O119" s="141"/>
      <c r="P119" s="137"/>
      <c r="Q119" s="137"/>
    </row>
    <row r="120" spans="1:17" ht="12.75">
      <c r="A120" s="995" t="s">
        <v>203</v>
      </c>
      <c r="B120" s="1017"/>
      <c r="C120" s="1017"/>
      <c r="D120" s="1057">
        <f t="shared" si="3"/>
        <v>0</v>
      </c>
      <c r="E120" s="1057"/>
      <c r="F120" s="927" t="e">
        <f>HLOOKUP($F$9,'Segment Tables'!$P$5:$T$13,6,FALSE)</f>
        <v>#N/A</v>
      </c>
      <c r="G120" s="927"/>
      <c r="H120" s="927" t="e">
        <f>HLOOKUP($F$9,'Segment Tables'!$P$5:$T$21,11,FALSE)</f>
        <v>#N/A</v>
      </c>
      <c r="I120" s="927"/>
      <c r="J120" s="927" t="e">
        <f t="shared" si="4"/>
        <v>#N/A</v>
      </c>
      <c r="K120" s="927"/>
      <c r="L120" s="927"/>
      <c r="M120" s="1061"/>
      <c r="N120" s="1062"/>
      <c r="O120" s="141"/>
      <c r="P120" s="204"/>
      <c r="Q120" s="204"/>
    </row>
    <row r="121" spans="1:17" ht="12.75">
      <c r="A121" s="995" t="s">
        <v>204</v>
      </c>
      <c r="B121" s="1017"/>
      <c r="C121" s="1017"/>
      <c r="D121" s="1057">
        <f t="shared" si="3"/>
        <v>0</v>
      </c>
      <c r="E121" s="1057"/>
      <c r="F121" s="927" t="e">
        <f>HLOOKUP($F$9,'Segment Tables'!$P$5:$T$13,7,FALSE)</f>
        <v>#N/A</v>
      </c>
      <c r="G121" s="927"/>
      <c r="H121" s="927" t="e">
        <f>HLOOKUP($F$9,'Segment Tables'!$P$5:$T$21,11,FALSE)</f>
        <v>#N/A</v>
      </c>
      <c r="I121" s="927"/>
      <c r="J121" s="927" t="e">
        <f t="shared" si="4"/>
        <v>#N/A</v>
      </c>
      <c r="K121" s="927"/>
      <c r="L121" s="927"/>
      <c r="M121" s="1061"/>
      <c r="N121" s="1062"/>
      <c r="O121" s="141"/>
      <c r="P121" s="204"/>
      <c r="Q121" s="204"/>
    </row>
    <row r="122" spans="1:17" ht="12.75">
      <c r="A122" s="995" t="s">
        <v>205</v>
      </c>
      <c r="B122" s="1017"/>
      <c r="C122" s="1017"/>
      <c r="D122" s="1057">
        <f t="shared" si="3"/>
        <v>0</v>
      </c>
      <c r="E122" s="1057"/>
      <c r="F122" s="927" t="e">
        <f>HLOOKUP($F$9,'Segment Tables'!$P$5:$T$13,8,FALSE)</f>
        <v>#N/A</v>
      </c>
      <c r="G122" s="927"/>
      <c r="H122" s="927" t="e">
        <f>HLOOKUP($F$9,'Segment Tables'!$P$5:$T$21,11,FALSE)</f>
        <v>#N/A</v>
      </c>
      <c r="I122" s="927"/>
      <c r="J122" s="927" t="e">
        <f t="shared" si="4"/>
        <v>#N/A</v>
      </c>
      <c r="K122" s="927"/>
      <c r="L122" s="927"/>
      <c r="M122" s="1061"/>
      <c r="N122" s="1062"/>
      <c r="O122" s="141"/>
      <c r="P122" s="204"/>
      <c r="Q122" s="204"/>
    </row>
    <row r="123" spans="1:17" ht="12.75">
      <c r="A123" s="995" t="s">
        <v>90</v>
      </c>
      <c r="B123" s="1017"/>
      <c r="C123" s="1017"/>
      <c r="D123" s="1057">
        <f t="shared" si="3"/>
        <v>0</v>
      </c>
      <c r="E123" s="1057"/>
      <c r="F123" s="927" t="e">
        <f>HLOOKUP($F$9,'Segment Tables'!$P$5:$T$13,9,FALSE)</f>
        <v>#N/A</v>
      </c>
      <c r="G123" s="927"/>
      <c r="H123" s="927" t="e">
        <f>HLOOKUP($F$9,'Segment Tables'!$P$5:$T$21,11,FALSE)</f>
        <v>#N/A</v>
      </c>
      <c r="I123" s="927"/>
      <c r="J123" s="927" t="e">
        <f t="shared" si="4"/>
        <v>#N/A</v>
      </c>
      <c r="K123" s="927"/>
      <c r="L123" s="927"/>
      <c r="M123" s="1063"/>
      <c r="N123" s="1064"/>
      <c r="O123" s="141"/>
      <c r="P123" s="204"/>
      <c r="Q123" s="204"/>
    </row>
    <row r="124" spans="1:17" ht="13.5" thickBot="1">
      <c r="A124" s="1001" t="s">
        <v>31</v>
      </c>
      <c r="B124" s="1058"/>
      <c r="C124" s="1058"/>
      <c r="D124" s="948" t="s">
        <v>14</v>
      </c>
      <c r="E124" s="949"/>
      <c r="F124" s="948" t="s">
        <v>14</v>
      </c>
      <c r="G124" s="949"/>
      <c r="H124" s="948" t="s">
        <v>14</v>
      </c>
      <c r="I124" s="949"/>
      <c r="J124" s="1056" t="e">
        <f>SUM(J117:L123)</f>
        <v>#N/A</v>
      </c>
      <c r="K124" s="893"/>
      <c r="L124" s="893"/>
      <c r="M124" s="884" t="e">
        <f>HLOOKUP($F$9,'Segment Tables'!$P$5:$T$21,13,FALSE)</f>
        <v>#N/A</v>
      </c>
      <c r="N124" s="1037"/>
      <c r="O124" s="148"/>
      <c r="P124" s="203"/>
      <c r="Q124" s="203"/>
    </row>
    <row r="125" spans="1:15" ht="12.75">
      <c r="A125" s="154"/>
      <c r="B125" s="154"/>
      <c r="C125" s="154"/>
      <c r="D125" s="154"/>
      <c r="E125" s="154"/>
      <c r="F125" s="154"/>
      <c r="G125" s="154"/>
      <c r="H125" s="154"/>
      <c r="I125" s="154"/>
      <c r="J125" s="154"/>
      <c r="K125" s="154"/>
      <c r="L125" s="154"/>
      <c r="M125" s="154"/>
      <c r="N125" s="154"/>
      <c r="O125" s="154"/>
    </row>
    <row r="126" spans="1:15" ht="12.75">
      <c r="A126" s="154"/>
      <c r="B126" s="154"/>
      <c r="C126" s="154"/>
      <c r="D126" s="154"/>
      <c r="E126" s="154"/>
      <c r="F126" s="154"/>
      <c r="G126" s="154"/>
      <c r="H126" s="154"/>
      <c r="I126" s="154"/>
      <c r="J126" s="154"/>
      <c r="K126" s="154"/>
      <c r="L126" s="154"/>
      <c r="M126" s="154"/>
      <c r="N126" s="154"/>
      <c r="O126" s="154"/>
    </row>
    <row r="127" spans="1:15" ht="12.75">
      <c r="A127" s="862" t="s">
        <v>491</v>
      </c>
      <c r="B127" s="862"/>
      <c r="C127" s="862"/>
      <c r="D127" s="862"/>
      <c r="E127" s="862"/>
      <c r="F127" s="862"/>
      <c r="G127" s="862"/>
      <c r="H127" s="862"/>
      <c r="I127" s="862"/>
      <c r="J127" s="862"/>
      <c r="K127" s="862"/>
      <c r="L127" s="862"/>
      <c r="M127" s="862"/>
      <c r="N127" s="862"/>
      <c r="O127" s="154"/>
    </row>
    <row r="128" spans="1:15" ht="13.5" thickBot="1">
      <c r="A128" s="863"/>
      <c r="B128" s="863"/>
      <c r="C128" s="863"/>
      <c r="D128" s="863"/>
      <c r="E128" s="863"/>
      <c r="F128" s="863"/>
      <c r="G128" s="863"/>
      <c r="H128" s="863"/>
      <c r="I128" s="863"/>
      <c r="J128" s="863"/>
      <c r="K128" s="863"/>
      <c r="L128" s="863"/>
      <c r="M128" s="863"/>
      <c r="N128" s="863"/>
      <c r="O128" s="137"/>
    </row>
    <row r="129" spans="1:15" ht="12.75">
      <c r="A129" s="891" t="s">
        <v>16</v>
      </c>
      <c r="B129" s="952"/>
      <c r="C129" s="952"/>
      <c r="D129" s="875" t="s">
        <v>17</v>
      </c>
      <c r="E129" s="875"/>
      <c r="F129" s="875" t="s">
        <v>18</v>
      </c>
      <c r="G129" s="875"/>
      <c r="H129" s="139" t="s">
        <v>19</v>
      </c>
      <c r="I129" s="875" t="s">
        <v>20</v>
      </c>
      <c r="J129" s="875"/>
      <c r="K129" s="875" t="s">
        <v>21</v>
      </c>
      <c r="L129" s="875"/>
      <c r="M129" s="875" t="s">
        <v>22</v>
      </c>
      <c r="N129" s="876"/>
      <c r="O129" s="156"/>
    </row>
    <row r="130" spans="1:15" ht="12.75">
      <c r="A130" s="915" t="s">
        <v>28</v>
      </c>
      <c r="B130" s="977"/>
      <c r="C130" s="977"/>
      <c r="D130" s="917" t="s">
        <v>536</v>
      </c>
      <c r="E130" s="917"/>
      <c r="F130" s="877" t="s">
        <v>538</v>
      </c>
      <c r="G130" s="877"/>
      <c r="H130" s="877" t="s">
        <v>539</v>
      </c>
      <c r="I130" s="877" t="s">
        <v>30</v>
      </c>
      <c r="J130" s="877"/>
      <c r="K130" s="877" t="s">
        <v>540</v>
      </c>
      <c r="L130" s="877"/>
      <c r="M130" s="877" t="s">
        <v>541</v>
      </c>
      <c r="N130" s="978"/>
      <c r="O130" s="157"/>
    </row>
    <row r="131" spans="1:15" ht="12.75">
      <c r="A131" s="1018"/>
      <c r="B131" s="977"/>
      <c r="C131" s="977"/>
      <c r="D131" s="917"/>
      <c r="E131" s="917"/>
      <c r="F131" s="877"/>
      <c r="G131" s="877"/>
      <c r="H131" s="877"/>
      <c r="I131" s="877"/>
      <c r="J131" s="877"/>
      <c r="K131" s="877"/>
      <c r="L131" s="877"/>
      <c r="M131" s="877"/>
      <c r="N131" s="978"/>
      <c r="O131" s="157"/>
    </row>
    <row r="132" spans="1:15" ht="12.75">
      <c r="A132" s="1018"/>
      <c r="B132" s="977"/>
      <c r="C132" s="977"/>
      <c r="D132" s="914" t="s">
        <v>542</v>
      </c>
      <c r="E132" s="914"/>
      <c r="F132" s="914" t="s">
        <v>395</v>
      </c>
      <c r="G132" s="914"/>
      <c r="H132" s="914" t="s">
        <v>543</v>
      </c>
      <c r="I132" s="914" t="s">
        <v>171</v>
      </c>
      <c r="J132" s="914"/>
      <c r="K132" s="914"/>
      <c r="L132" s="914"/>
      <c r="M132" s="914" t="s">
        <v>206</v>
      </c>
      <c r="N132" s="873"/>
      <c r="O132" s="141"/>
    </row>
    <row r="133" spans="1:15" ht="14.25" customHeight="1">
      <c r="A133" s="1018"/>
      <c r="B133" s="977"/>
      <c r="C133" s="977"/>
      <c r="D133" s="914"/>
      <c r="E133" s="914"/>
      <c r="F133" s="914"/>
      <c r="G133" s="914"/>
      <c r="H133" s="914"/>
      <c r="I133" s="914"/>
      <c r="J133" s="914"/>
      <c r="K133" s="914"/>
      <c r="L133" s="914"/>
      <c r="M133" s="914"/>
      <c r="N133" s="873"/>
      <c r="O133" s="141"/>
    </row>
    <row r="134" spans="1:15" ht="12.75">
      <c r="A134" s="879" t="s">
        <v>31</v>
      </c>
      <c r="B134" s="880"/>
      <c r="C134" s="880"/>
      <c r="D134" s="887" t="e">
        <f>+J124</f>
        <v>#N/A</v>
      </c>
      <c r="E134" s="888"/>
      <c r="F134" s="927">
        <v>1</v>
      </c>
      <c r="G134" s="927"/>
      <c r="H134" s="144" t="e">
        <f>+$D$134*F134</f>
        <v>#N/A</v>
      </c>
      <c r="I134" s="1067" t="e">
        <f>+$M$45</f>
        <v>#N/A</v>
      </c>
      <c r="J134" s="888"/>
      <c r="K134" s="1067">
        <f>+$F$27</f>
        <v>1</v>
      </c>
      <c r="L134" s="888"/>
      <c r="M134" s="887" t="e">
        <f>+H134*I134*K134</f>
        <v>#N/A</v>
      </c>
      <c r="N134" s="1068"/>
      <c r="O134" s="146"/>
    </row>
    <row r="135" spans="1:15" ht="12.75">
      <c r="A135" s="879" t="s">
        <v>110</v>
      </c>
      <c r="B135" s="880"/>
      <c r="C135" s="880"/>
      <c r="D135" s="920" t="s">
        <v>14</v>
      </c>
      <c r="E135" s="888"/>
      <c r="F135" s="927" t="e">
        <f>HLOOKUP($F$9,'Segment Tables'!$P$5:$T$21,15,FALSE)</f>
        <v>#N/A</v>
      </c>
      <c r="G135" s="927"/>
      <c r="H135" s="144" t="e">
        <f>+$D$134*F135</f>
        <v>#N/A</v>
      </c>
      <c r="I135" s="1067" t="e">
        <f>+$M$45</f>
        <v>#N/A</v>
      </c>
      <c r="J135" s="888"/>
      <c r="K135" s="1067">
        <f>+$F$27</f>
        <v>1</v>
      </c>
      <c r="L135" s="888"/>
      <c r="M135" s="887" t="e">
        <f>+H135*I135*K135</f>
        <v>#N/A</v>
      </c>
      <c r="N135" s="1068"/>
      <c r="O135" s="146"/>
    </row>
    <row r="136" spans="1:15" ht="13.5" thickBot="1">
      <c r="A136" s="881" t="s">
        <v>111</v>
      </c>
      <c r="B136" s="882"/>
      <c r="C136" s="882"/>
      <c r="D136" s="948" t="s">
        <v>14</v>
      </c>
      <c r="E136" s="949"/>
      <c r="F136" s="1056" t="e">
        <f>HLOOKUP($F$9,'Segment Tables'!$P$5:$T$21,17,FALSE)</f>
        <v>#N/A</v>
      </c>
      <c r="G136" s="1056"/>
      <c r="H136" s="159" t="e">
        <f>+$D$134*F136</f>
        <v>#N/A</v>
      </c>
      <c r="I136" s="1037" t="e">
        <f>+$M$45</f>
        <v>#N/A</v>
      </c>
      <c r="J136" s="949"/>
      <c r="K136" s="1037">
        <f>+$F$27</f>
        <v>1</v>
      </c>
      <c r="L136" s="949"/>
      <c r="M136" s="979" t="e">
        <f>+H136*I136*K136</f>
        <v>#N/A</v>
      </c>
      <c r="N136" s="1077"/>
      <c r="O136" s="146"/>
    </row>
    <row r="139" spans="1:14" ht="12.75">
      <c r="A139" s="862" t="s">
        <v>492</v>
      </c>
      <c r="B139" s="862"/>
      <c r="C139" s="862"/>
      <c r="D139" s="862"/>
      <c r="E139" s="862"/>
      <c r="F139" s="862"/>
      <c r="G139" s="862"/>
      <c r="H139" s="862"/>
      <c r="I139" s="862"/>
      <c r="J139" s="862"/>
      <c r="K139" s="862"/>
      <c r="L139" s="862"/>
      <c r="M139" s="862"/>
      <c r="N139" s="862"/>
    </row>
    <row r="140" spans="1:15" ht="13.5" thickBot="1">
      <c r="A140" s="863"/>
      <c r="B140" s="863"/>
      <c r="C140" s="863"/>
      <c r="D140" s="863"/>
      <c r="E140" s="863"/>
      <c r="F140" s="863"/>
      <c r="G140" s="863"/>
      <c r="H140" s="863"/>
      <c r="I140" s="863"/>
      <c r="J140" s="863"/>
      <c r="K140" s="863"/>
      <c r="L140" s="863"/>
      <c r="M140" s="863"/>
      <c r="N140" s="863"/>
      <c r="O140" s="137"/>
    </row>
    <row r="141" spans="1:15" ht="12.75">
      <c r="A141" s="891" t="s">
        <v>16</v>
      </c>
      <c r="B141" s="875"/>
      <c r="C141" s="875" t="s">
        <v>17</v>
      </c>
      <c r="D141" s="875"/>
      <c r="E141" s="875" t="s">
        <v>18</v>
      </c>
      <c r="F141" s="875"/>
      <c r="G141" s="875" t="s">
        <v>19</v>
      </c>
      <c r="H141" s="875"/>
      <c r="I141" s="875" t="s">
        <v>20</v>
      </c>
      <c r="J141" s="875"/>
      <c r="K141" s="139" t="s">
        <v>21</v>
      </c>
      <c r="L141" s="139" t="s">
        <v>22</v>
      </c>
      <c r="M141" s="875" t="s">
        <v>23</v>
      </c>
      <c r="N141" s="876"/>
      <c r="O141" s="156"/>
    </row>
    <row r="142" spans="1:15" ht="15.75" customHeight="1">
      <c r="A142" s="915" t="s">
        <v>28</v>
      </c>
      <c r="B142" s="916"/>
      <c r="C142" s="917" t="s">
        <v>511</v>
      </c>
      <c r="D142" s="917"/>
      <c r="E142" s="917" t="s">
        <v>527</v>
      </c>
      <c r="F142" s="917"/>
      <c r="G142" s="917" t="s">
        <v>541</v>
      </c>
      <c r="H142" s="917"/>
      <c r="I142" s="917" t="s">
        <v>544</v>
      </c>
      <c r="J142" s="917"/>
      <c r="K142" s="160" t="s">
        <v>545</v>
      </c>
      <c r="L142" s="877" t="s">
        <v>540</v>
      </c>
      <c r="M142" s="877" t="s">
        <v>546</v>
      </c>
      <c r="N142" s="873"/>
      <c r="O142" s="141"/>
    </row>
    <row r="143" spans="1:15" ht="12.75">
      <c r="A143" s="915"/>
      <c r="B143" s="916"/>
      <c r="C143" s="914" t="s">
        <v>208</v>
      </c>
      <c r="D143" s="914"/>
      <c r="E143" s="914" t="s">
        <v>209</v>
      </c>
      <c r="F143" s="914"/>
      <c r="G143" s="914" t="s">
        <v>210</v>
      </c>
      <c r="H143" s="914"/>
      <c r="I143" s="914" t="s">
        <v>211</v>
      </c>
      <c r="J143" s="914"/>
      <c r="K143" s="914" t="s">
        <v>396</v>
      </c>
      <c r="L143" s="914"/>
      <c r="M143" s="914" t="s">
        <v>207</v>
      </c>
      <c r="N143" s="873"/>
      <c r="O143" s="141"/>
    </row>
    <row r="144" spans="1:15" ht="12.75">
      <c r="A144" s="915"/>
      <c r="B144" s="916"/>
      <c r="C144" s="914"/>
      <c r="D144" s="914"/>
      <c r="E144" s="914"/>
      <c r="F144" s="914"/>
      <c r="G144" s="914"/>
      <c r="H144" s="914"/>
      <c r="I144" s="914"/>
      <c r="J144" s="914"/>
      <c r="K144" s="914"/>
      <c r="L144" s="914"/>
      <c r="M144" s="914"/>
      <c r="N144" s="873"/>
      <c r="O144" s="141"/>
    </row>
    <row r="145" spans="1:15" ht="12.75">
      <c r="A145" s="879" t="s">
        <v>31</v>
      </c>
      <c r="B145" s="880"/>
      <c r="C145" s="887" t="e">
        <f>+$N$55</f>
        <v>#N/A</v>
      </c>
      <c r="D145" s="888"/>
      <c r="E145" s="887" t="e">
        <f>+$N$87</f>
        <v>#N/A</v>
      </c>
      <c r="F145" s="888"/>
      <c r="G145" s="887" t="e">
        <f>+$M$134</f>
        <v>#N/A</v>
      </c>
      <c r="H145" s="888"/>
      <c r="I145" s="887" t="e">
        <f>+C145+E145+G145</f>
        <v>#N/A</v>
      </c>
      <c r="J145" s="888"/>
      <c r="K145" s="142" t="e">
        <f>IF('Segment Tables'!$B$76="No",(IF($F$24="Posted Speed 30 mph or Lower",VLOOKUP($F$9,'Segment Tables'!$A$79:$J$83,3,FALSE),VLOOKUP($F$9,'Segment Tables'!$A$79:$J$83,5,FALSE))),(IF($F$24="Posted Speed 30 mph or Lower",VLOOKUP($F$9,'Segment Tables'!$A$79:$J$83,7,FALSE),VLOOKUP($F$9,'Segment Tables'!$A$79:$J$83,9,FALSE))))</f>
        <v>#N/A</v>
      </c>
      <c r="L145" s="161">
        <f>+$F$27</f>
        <v>1</v>
      </c>
      <c r="M145" s="889" t="e">
        <f>+$I$145*$K$145*$L$145</f>
        <v>#N/A</v>
      </c>
      <c r="N145" s="890"/>
      <c r="O145" s="162"/>
    </row>
    <row r="146" spans="1:15" ht="13.5" thickBot="1">
      <c r="A146" s="881" t="s">
        <v>110</v>
      </c>
      <c r="B146" s="882"/>
      <c r="C146" s="892" t="s">
        <v>14</v>
      </c>
      <c r="D146" s="893"/>
      <c r="E146" s="892" t="s">
        <v>14</v>
      </c>
      <c r="F146" s="893"/>
      <c r="G146" s="892" t="s">
        <v>14</v>
      </c>
      <c r="H146" s="893"/>
      <c r="I146" s="892" t="s">
        <v>14</v>
      </c>
      <c r="J146" s="893"/>
      <c r="K146" s="163" t="s">
        <v>14</v>
      </c>
      <c r="L146" s="164">
        <f>+$F$27</f>
        <v>1</v>
      </c>
      <c r="M146" s="885" t="e">
        <f>+$I$145*$K$145*$L$145</f>
        <v>#N/A</v>
      </c>
      <c r="N146" s="886"/>
      <c r="O146" s="162"/>
    </row>
    <row r="149" spans="1:14" ht="12.75">
      <c r="A149" s="862" t="s">
        <v>493</v>
      </c>
      <c r="B149" s="862"/>
      <c r="C149" s="862"/>
      <c r="D149" s="862"/>
      <c r="E149" s="862"/>
      <c r="F149" s="862"/>
      <c r="G149" s="862"/>
      <c r="H149" s="862"/>
      <c r="I149" s="862"/>
      <c r="J149" s="862"/>
      <c r="K149" s="862"/>
      <c r="L149" s="862"/>
      <c r="M149" s="862"/>
      <c r="N149" s="862"/>
    </row>
    <row r="150" spans="1:15" ht="13.5" thickBot="1">
      <c r="A150" s="863"/>
      <c r="B150" s="863"/>
      <c r="C150" s="863"/>
      <c r="D150" s="863"/>
      <c r="E150" s="863"/>
      <c r="F150" s="863"/>
      <c r="G150" s="863"/>
      <c r="H150" s="863"/>
      <c r="I150" s="863"/>
      <c r="J150" s="863"/>
      <c r="K150" s="863"/>
      <c r="L150" s="863"/>
      <c r="M150" s="863"/>
      <c r="N150" s="863"/>
      <c r="O150" s="137"/>
    </row>
    <row r="151" spans="1:15" ht="12.75">
      <c r="A151" s="891" t="s">
        <v>16</v>
      </c>
      <c r="B151" s="875"/>
      <c r="C151" s="875" t="s">
        <v>17</v>
      </c>
      <c r="D151" s="875"/>
      <c r="E151" s="875" t="s">
        <v>18</v>
      </c>
      <c r="F151" s="875"/>
      <c r="G151" s="875" t="s">
        <v>19</v>
      </c>
      <c r="H151" s="875"/>
      <c r="I151" s="875" t="s">
        <v>20</v>
      </c>
      <c r="J151" s="875"/>
      <c r="K151" s="139" t="s">
        <v>21</v>
      </c>
      <c r="L151" s="139" t="s">
        <v>22</v>
      </c>
      <c r="M151" s="875" t="s">
        <v>23</v>
      </c>
      <c r="N151" s="876"/>
      <c r="O151" s="156"/>
    </row>
    <row r="152" spans="1:15" ht="14.25">
      <c r="A152" s="915" t="s">
        <v>28</v>
      </c>
      <c r="B152" s="916"/>
      <c r="C152" s="917" t="s">
        <v>511</v>
      </c>
      <c r="D152" s="917"/>
      <c r="E152" s="917" t="s">
        <v>527</v>
      </c>
      <c r="F152" s="917"/>
      <c r="G152" s="917" t="s">
        <v>541</v>
      </c>
      <c r="H152" s="917"/>
      <c r="I152" s="917" t="s">
        <v>544</v>
      </c>
      <c r="J152" s="917"/>
      <c r="K152" s="160" t="s">
        <v>547</v>
      </c>
      <c r="L152" s="877" t="s">
        <v>540</v>
      </c>
      <c r="M152" s="877" t="s">
        <v>548</v>
      </c>
      <c r="N152" s="873"/>
      <c r="O152" s="141"/>
    </row>
    <row r="153" spans="1:15" ht="12.75">
      <c r="A153" s="915"/>
      <c r="B153" s="916"/>
      <c r="C153" s="914" t="s">
        <v>208</v>
      </c>
      <c r="D153" s="914"/>
      <c r="E153" s="914" t="s">
        <v>209</v>
      </c>
      <c r="F153" s="914"/>
      <c r="G153" s="914" t="s">
        <v>210</v>
      </c>
      <c r="H153" s="914"/>
      <c r="I153" s="914" t="s">
        <v>211</v>
      </c>
      <c r="J153" s="914"/>
      <c r="K153" s="914" t="s">
        <v>397</v>
      </c>
      <c r="L153" s="914"/>
      <c r="M153" s="914" t="s">
        <v>207</v>
      </c>
      <c r="N153" s="873"/>
      <c r="O153" s="141"/>
    </row>
    <row r="154" spans="1:15" ht="12.75">
      <c r="A154" s="915"/>
      <c r="B154" s="916"/>
      <c r="C154" s="914"/>
      <c r="D154" s="914"/>
      <c r="E154" s="914"/>
      <c r="F154" s="914"/>
      <c r="G154" s="914"/>
      <c r="H154" s="914"/>
      <c r="I154" s="914"/>
      <c r="J154" s="914"/>
      <c r="K154" s="914"/>
      <c r="L154" s="914"/>
      <c r="M154" s="914"/>
      <c r="N154" s="873"/>
      <c r="O154" s="141"/>
    </row>
    <row r="155" spans="1:15" ht="12.75">
      <c r="A155" s="879" t="s">
        <v>31</v>
      </c>
      <c r="B155" s="880"/>
      <c r="C155" s="887" t="e">
        <f>+$N$55</f>
        <v>#N/A</v>
      </c>
      <c r="D155" s="888"/>
      <c r="E155" s="887" t="e">
        <f>+$N$87</f>
        <v>#N/A</v>
      </c>
      <c r="F155" s="888"/>
      <c r="G155" s="887" t="e">
        <f>+$M$134</f>
        <v>#N/A</v>
      </c>
      <c r="H155" s="888"/>
      <c r="I155" s="887" t="e">
        <f>+C155+E155+G155</f>
        <v>#N/A</v>
      </c>
      <c r="J155" s="888"/>
      <c r="K155" s="142" t="e">
        <f>IF('Segment Tables'!$B$91="No",(IF($F$24="Posted Speed 30 mph or Lower",VLOOKUP($F$9,'Segment Tables'!$A$94:$J$98,3,FALSE),VLOOKUP($F$9,'Segment Tables'!$A$94:$J$98,5,FALSE))),(IF($F$24="Posted Speed 30 mph or Lower",VLOOKUP($F$9,'Segment Tables'!$A$94:$J$98,7,FALSE),VLOOKUP($F$9,'Segment Tables'!$A$94:$J$98,9,FALSE))))</f>
        <v>#N/A</v>
      </c>
      <c r="L155" s="161">
        <f>+$F$27</f>
        <v>1</v>
      </c>
      <c r="M155" s="889" t="e">
        <f>+$I$155*$K$155*$L$155</f>
        <v>#N/A</v>
      </c>
      <c r="N155" s="890"/>
      <c r="O155" s="162"/>
    </row>
    <row r="156" spans="1:15" ht="13.5" thickBot="1">
      <c r="A156" s="881" t="s">
        <v>110</v>
      </c>
      <c r="B156" s="882"/>
      <c r="C156" s="892" t="s">
        <v>14</v>
      </c>
      <c r="D156" s="893"/>
      <c r="E156" s="892" t="s">
        <v>14</v>
      </c>
      <c r="F156" s="893"/>
      <c r="G156" s="892" t="s">
        <v>14</v>
      </c>
      <c r="H156" s="893"/>
      <c r="I156" s="892" t="s">
        <v>14</v>
      </c>
      <c r="J156" s="893"/>
      <c r="K156" s="163" t="s">
        <v>14</v>
      </c>
      <c r="L156" s="164">
        <f>+$F$27</f>
        <v>1</v>
      </c>
      <c r="M156" s="885" t="e">
        <f>+$I$155*$K$155*$L$155</f>
        <v>#N/A</v>
      </c>
      <c r="N156" s="886"/>
      <c r="O156" s="162"/>
    </row>
    <row r="159" spans="1:14" ht="12.75">
      <c r="A159" s="862" t="s">
        <v>494</v>
      </c>
      <c r="B159" s="862"/>
      <c r="C159" s="862"/>
      <c r="D159" s="862"/>
      <c r="E159" s="862"/>
      <c r="F159" s="862"/>
      <c r="G159" s="862"/>
      <c r="H159" s="862"/>
      <c r="I159" s="862"/>
      <c r="J159" s="862"/>
      <c r="K159" s="862"/>
      <c r="L159" s="862"/>
      <c r="M159" s="862"/>
      <c r="N159" s="862"/>
    </row>
    <row r="160" spans="1:15" ht="13.5" thickBot="1">
      <c r="A160" s="863"/>
      <c r="B160" s="863"/>
      <c r="C160" s="863"/>
      <c r="D160" s="863"/>
      <c r="E160" s="863"/>
      <c r="F160" s="863"/>
      <c r="G160" s="863"/>
      <c r="H160" s="863"/>
      <c r="I160" s="863"/>
      <c r="J160" s="863"/>
      <c r="K160" s="863"/>
      <c r="L160" s="863"/>
      <c r="M160" s="863"/>
      <c r="N160" s="863"/>
      <c r="O160" s="137"/>
    </row>
    <row r="161" spans="1:15" ht="12.75">
      <c r="A161" s="923" t="s">
        <v>16</v>
      </c>
      <c r="B161" s="924"/>
      <c r="C161" s="924"/>
      <c r="D161" s="924"/>
      <c r="E161" s="924"/>
      <c r="F161" s="925" t="s">
        <v>17</v>
      </c>
      <c r="G161" s="925"/>
      <c r="H161" s="925"/>
      <c r="I161" s="925" t="s">
        <v>18</v>
      </c>
      <c r="J161" s="925"/>
      <c r="K161" s="925"/>
      <c r="L161" s="925" t="s">
        <v>19</v>
      </c>
      <c r="M161" s="925"/>
      <c r="N161" s="926"/>
      <c r="O161" s="156"/>
    </row>
    <row r="162" spans="1:15" ht="12.75">
      <c r="A162" s="936" t="s">
        <v>46</v>
      </c>
      <c r="B162" s="937"/>
      <c r="C162" s="937"/>
      <c r="D162" s="937"/>
      <c r="E162" s="937"/>
      <c r="F162" s="903" t="s">
        <v>110</v>
      </c>
      <c r="G162" s="903"/>
      <c r="H162" s="903"/>
      <c r="I162" s="903" t="s">
        <v>111</v>
      </c>
      <c r="J162" s="903"/>
      <c r="K162" s="903"/>
      <c r="L162" s="903" t="s">
        <v>31</v>
      </c>
      <c r="M162" s="903"/>
      <c r="N162" s="922"/>
      <c r="O162" s="158"/>
    </row>
    <row r="163" spans="1:15" ht="12.75">
      <c r="A163" s="938"/>
      <c r="B163" s="939"/>
      <c r="C163" s="939"/>
      <c r="D163" s="939"/>
      <c r="E163" s="939"/>
      <c r="F163" s="930" t="s">
        <v>212</v>
      </c>
      <c r="G163" s="930"/>
      <c r="H163" s="930"/>
      <c r="I163" s="930" t="s">
        <v>214</v>
      </c>
      <c r="J163" s="930"/>
      <c r="K163" s="930"/>
      <c r="L163" s="930" t="s">
        <v>216</v>
      </c>
      <c r="M163" s="930"/>
      <c r="N163" s="959"/>
      <c r="O163" s="154"/>
    </row>
    <row r="164" spans="1:15" ht="12.75">
      <c r="A164" s="938"/>
      <c r="B164" s="939"/>
      <c r="C164" s="939"/>
      <c r="D164" s="939"/>
      <c r="E164" s="939"/>
      <c r="F164" s="901" t="s">
        <v>215</v>
      </c>
      <c r="G164" s="901"/>
      <c r="H164" s="901"/>
      <c r="I164" s="901" t="s">
        <v>210</v>
      </c>
      <c r="J164" s="901"/>
      <c r="K164" s="901"/>
      <c r="L164" s="901" t="s">
        <v>215</v>
      </c>
      <c r="M164" s="901"/>
      <c r="N164" s="902"/>
      <c r="O164" s="154"/>
    </row>
    <row r="165" spans="1:15" ht="12.75">
      <c r="A165" s="940"/>
      <c r="B165" s="941"/>
      <c r="C165" s="941"/>
      <c r="D165" s="941"/>
      <c r="E165" s="941"/>
      <c r="F165" s="956" t="s">
        <v>213</v>
      </c>
      <c r="G165" s="956"/>
      <c r="H165" s="956"/>
      <c r="I165" s="956"/>
      <c r="J165" s="956"/>
      <c r="K165" s="956"/>
      <c r="L165" s="956" t="s">
        <v>213</v>
      </c>
      <c r="M165" s="956"/>
      <c r="N165" s="957"/>
      <c r="O165" s="154"/>
    </row>
    <row r="166" spans="1:15" ht="12.75">
      <c r="A166" s="934" t="s">
        <v>217</v>
      </c>
      <c r="B166" s="917"/>
      <c r="C166" s="917"/>
      <c r="D166" s="917"/>
      <c r="E166" s="917"/>
      <c r="F166" s="917"/>
      <c r="G166" s="917"/>
      <c r="H166" s="917"/>
      <c r="I166" s="917"/>
      <c r="J166" s="917"/>
      <c r="K166" s="917"/>
      <c r="L166" s="917"/>
      <c r="M166" s="917"/>
      <c r="N166" s="935"/>
      <c r="O166" s="158"/>
    </row>
    <row r="167" spans="1:15" ht="12.75">
      <c r="A167" s="879" t="s">
        <v>219</v>
      </c>
      <c r="B167" s="880"/>
      <c r="C167" s="880"/>
      <c r="D167" s="880"/>
      <c r="E167" s="880"/>
      <c r="F167" s="927" t="e">
        <f>+F72</f>
        <v>#N/A</v>
      </c>
      <c r="G167" s="878"/>
      <c r="H167" s="878"/>
      <c r="I167" s="927" t="e">
        <f>+J72</f>
        <v>#N/A</v>
      </c>
      <c r="J167" s="878"/>
      <c r="K167" s="878"/>
      <c r="L167" s="927" t="e">
        <f>+L72</f>
        <v>#N/A</v>
      </c>
      <c r="M167" s="878"/>
      <c r="N167" s="918"/>
      <c r="O167" s="137"/>
    </row>
    <row r="168" spans="1:15" ht="12.75">
      <c r="A168" s="879" t="s">
        <v>220</v>
      </c>
      <c r="B168" s="880"/>
      <c r="C168" s="880"/>
      <c r="D168" s="880"/>
      <c r="E168" s="880"/>
      <c r="F168" s="927" t="e">
        <f>+F73</f>
        <v>#N/A</v>
      </c>
      <c r="G168" s="878"/>
      <c r="H168" s="878"/>
      <c r="I168" s="927" t="e">
        <f>+J73</f>
        <v>#N/A</v>
      </c>
      <c r="J168" s="878"/>
      <c r="K168" s="878"/>
      <c r="L168" s="927" t="e">
        <f>+L73</f>
        <v>#N/A</v>
      </c>
      <c r="M168" s="878"/>
      <c r="N168" s="918"/>
      <c r="O168" s="137"/>
    </row>
    <row r="169" spans="1:15" ht="12.75">
      <c r="A169" s="879" t="s">
        <v>221</v>
      </c>
      <c r="B169" s="880"/>
      <c r="C169" s="880"/>
      <c r="D169" s="880"/>
      <c r="E169" s="880"/>
      <c r="F169" s="927" t="e">
        <f>+F74</f>
        <v>#N/A</v>
      </c>
      <c r="G169" s="878"/>
      <c r="H169" s="878"/>
      <c r="I169" s="927" t="e">
        <f>+J74</f>
        <v>#N/A</v>
      </c>
      <c r="J169" s="878"/>
      <c r="K169" s="878"/>
      <c r="L169" s="927" t="e">
        <f>+L74</f>
        <v>#N/A</v>
      </c>
      <c r="M169" s="878"/>
      <c r="N169" s="918"/>
      <c r="O169" s="137"/>
    </row>
    <row r="170" spans="1:15" ht="12.75">
      <c r="A170" s="905" t="s">
        <v>222</v>
      </c>
      <c r="B170" s="942"/>
      <c r="C170" s="942"/>
      <c r="D170" s="942"/>
      <c r="E170" s="942"/>
      <c r="F170" s="927" t="e">
        <f>+F75</f>
        <v>#N/A</v>
      </c>
      <c r="G170" s="878"/>
      <c r="H170" s="878"/>
      <c r="I170" s="927" t="e">
        <f>+J75</f>
        <v>#N/A</v>
      </c>
      <c r="J170" s="878"/>
      <c r="K170" s="878"/>
      <c r="L170" s="927" t="e">
        <f>+L75</f>
        <v>#N/A</v>
      </c>
      <c r="M170" s="878"/>
      <c r="N170" s="918"/>
      <c r="O170" s="137"/>
    </row>
    <row r="171" spans="1:15" ht="12.75">
      <c r="A171" s="905" t="s">
        <v>223</v>
      </c>
      <c r="B171" s="942"/>
      <c r="C171" s="942"/>
      <c r="D171" s="942"/>
      <c r="E171" s="942"/>
      <c r="F171" s="927" t="e">
        <f>+F76</f>
        <v>#N/A</v>
      </c>
      <c r="G171" s="878"/>
      <c r="H171" s="878"/>
      <c r="I171" s="927" t="e">
        <f>+J76</f>
        <v>#N/A</v>
      </c>
      <c r="J171" s="878"/>
      <c r="K171" s="878"/>
      <c r="L171" s="927" t="e">
        <f>+L76</f>
        <v>#N/A</v>
      </c>
      <c r="M171" s="878"/>
      <c r="N171" s="918"/>
      <c r="O171" s="137"/>
    </row>
    <row r="172" spans="1:15" ht="12.75">
      <c r="A172" s="905" t="s">
        <v>224</v>
      </c>
      <c r="B172" s="942"/>
      <c r="C172" s="942"/>
      <c r="D172" s="942"/>
      <c r="E172" s="942"/>
      <c r="F172" s="927" t="e">
        <f>+M135</f>
        <v>#N/A</v>
      </c>
      <c r="G172" s="878"/>
      <c r="H172" s="878"/>
      <c r="I172" s="927" t="e">
        <f>+M136</f>
        <v>#N/A</v>
      </c>
      <c r="J172" s="878"/>
      <c r="K172" s="878"/>
      <c r="L172" s="927" t="e">
        <f>+M134</f>
        <v>#N/A</v>
      </c>
      <c r="M172" s="878"/>
      <c r="N172" s="918"/>
      <c r="O172" s="137"/>
    </row>
    <row r="173" spans="1:15" ht="12.75">
      <c r="A173" s="905" t="s">
        <v>225</v>
      </c>
      <c r="B173" s="942"/>
      <c r="C173" s="942"/>
      <c r="D173" s="942"/>
      <c r="E173" s="942"/>
      <c r="F173" s="927" t="e">
        <f>+F77</f>
        <v>#N/A</v>
      </c>
      <c r="G173" s="878"/>
      <c r="H173" s="878"/>
      <c r="I173" s="927" t="e">
        <f>+J77</f>
        <v>#N/A</v>
      </c>
      <c r="J173" s="878"/>
      <c r="K173" s="878"/>
      <c r="L173" s="927" t="e">
        <f>+L77</f>
        <v>#N/A</v>
      </c>
      <c r="M173" s="878"/>
      <c r="N173" s="918"/>
      <c r="O173" s="137"/>
    </row>
    <row r="174" spans="1:15" ht="13.5" thickBot="1">
      <c r="A174" s="961" t="s">
        <v>226</v>
      </c>
      <c r="B174" s="962"/>
      <c r="C174" s="962"/>
      <c r="D174" s="962"/>
      <c r="E174" s="962"/>
      <c r="F174" s="928" t="e">
        <f>SUM(F167:H173)</f>
        <v>#N/A</v>
      </c>
      <c r="G174" s="929"/>
      <c r="H174" s="929"/>
      <c r="I174" s="928" t="e">
        <f>SUM(I167:K173)</f>
        <v>#N/A</v>
      </c>
      <c r="J174" s="929"/>
      <c r="K174" s="929"/>
      <c r="L174" s="928" t="e">
        <f>SUM(L167:N173)</f>
        <v>#N/A</v>
      </c>
      <c r="M174" s="929"/>
      <c r="N174" s="958"/>
      <c r="O174" s="137"/>
    </row>
    <row r="175" spans="1:15" ht="12.75">
      <c r="A175" s="931" t="s">
        <v>218</v>
      </c>
      <c r="B175" s="932"/>
      <c r="C175" s="932"/>
      <c r="D175" s="932"/>
      <c r="E175" s="932"/>
      <c r="F175" s="932"/>
      <c r="G175" s="932"/>
      <c r="H175" s="932"/>
      <c r="I175" s="932"/>
      <c r="J175" s="932"/>
      <c r="K175" s="932"/>
      <c r="L175" s="932"/>
      <c r="M175" s="932"/>
      <c r="N175" s="933"/>
      <c r="O175" s="158"/>
    </row>
    <row r="176" spans="1:15" ht="12.75">
      <c r="A176" s="905" t="s">
        <v>227</v>
      </c>
      <c r="B176" s="942"/>
      <c r="C176" s="942"/>
      <c r="D176" s="942"/>
      <c r="E176" s="942"/>
      <c r="F176" s="927" t="e">
        <f>+F104</f>
        <v>#N/A</v>
      </c>
      <c r="G176" s="878"/>
      <c r="H176" s="878"/>
      <c r="I176" s="927" t="e">
        <f>+J104</f>
        <v>#N/A</v>
      </c>
      <c r="J176" s="878"/>
      <c r="K176" s="878"/>
      <c r="L176" s="927" t="e">
        <f>+L104</f>
        <v>#N/A</v>
      </c>
      <c r="M176" s="878"/>
      <c r="N176" s="918"/>
      <c r="O176" s="137"/>
    </row>
    <row r="177" spans="1:15" ht="12.75">
      <c r="A177" s="905" t="s">
        <v>228</v>
      </c>
      <c r="B177" s="942"/>
      <c r="C177" s="942"/>
      <c r="D177" s="942"/>
      <c r="E177" s="942"/>
      <c r="F177" s="927" t="e">
        <f>+F105</f>
        <v>#N/A</v>
      </c>
      <c r="G177" s="878"/>
      <c r="H177" s="878"/>
      <c r="I177" s="927" t="e">
        <f>+J105</f>
        <v>#N/A</v>
      </c>
      <c r="J177" s="878"/>
      <c r="K177" s="878"/>
      <c r="L177" s="927" t="e">
        <f>+L105</f>
        <v>#N/A</v>
      </c>
      <c r="M177" s="878"/>
      <c r="N177" s="918"/>
      <c r="O177" s="137"/>
    </row>
    <row r="178" spans="1:15" ht="12.75">
      <c r="A178" s="905" t="s">
        <v>229</v>
      </c>
      <c r="B178" s="942"/>
      <c r="C178" s="942"/>
      <c r="D178" s="942"/>
      <c r="E178" s="942"/>
      <c r="F178" s="927" t="e">
        <f>+F106</f>
        <v>#N/A</v>
      </c>
      <c r="G178" s="878"/>
      <c r="H178" s="878"/>
      <c r="I178" s="927" t="e">
        <f>+J106</f>
        <v>#N/A</v>
      </c>
      <c r="J178" s="878"/>
      <c r="K178" s="878"/>
      <c r="L178" s="927" t="e">
        <f>+L106</f>
        <v>#N/A</v>
      </c>
      <c r="M178" s="878"/>
      <c r="N178" s="918"/>
      <c r="O178" s="137"/>
    </row>
    <row r="179" spans="1:15" ht="12.75">
      <c r="A179" s="905" t="s">
        <v>230</v>
      </c>
      <c r="B179" s="942"/>
      <c r="C179" s="942"/>
      <c r="D179" s="942"/>
      <c r="E179" s="942"/>
      <c r="F179" s="927" t="e">
        <f>+F107</f>
        <v>#N/A</v>
      </c>
      <c r="G179" s="878"/>
      <c r="H179" s="878"/>
      <c r="I179" s="927" t="e">
        <f>+J107</f>
        <v>#N/A</v>
      </c>
      <c r="J179" s="878"/>
      <c r="K179" s="878"/>
      <c r="L179" s="927" t="e">
        <f>+L107</f>
        <v>#N/A</v>
      </c>
      <c r="M179" s="878"/>
      <c r="N179" s="918"/>
      <c r="O179" s="137"/>
    </row>
    <row r="180" spans="1:15" ht="12.75">
      <c r="A180" s="905" t="s">
        <v>231</v>
      </c>
      <c r="B180" s="942"/>
      <c r="C180" s="942"/>
      <c r="D180" s="942"/>
      <c r="E180" s="942"/>
      <c r="F180" s="927" t="e">
        <f>+M146</f>
        <v>#N/A</v>
      </c>
      <c r="G180" s="878"/>
      <c r="H180" s="878"/>
      <c r="I180" s="927">
        <v>0</v>
      </c>
      <c r="J180" s="927"/>
      <c r="K180" s="927"/>
      <c r="L180" s="927" t="e">
        <f>+M145</f>
        <v>#N/A</v>
      </c>
      <c r="M180" s="878"/>
      <c r="N180" s="918"/>
      <c r="O180" s="137"/>
    </row>
    <row r="181" spans="1:15" ht="12.75">
      <c r="A181" s="905" t="s">
        <v>232</v>
      </c>
      <c r="B181" s="942"/>
      <c r="C181" s="942"/>
      <c r="D181" s="942"/>
      <c r="E181" s="942"/>
      <c r="F181" s="927" t="e">
        <f>+M156</f>
        <v>#N/A</v>
      </c>
      <c r="G181" s="878"/>
      <c r="H181" s="878"/>
      <c r="I181" s="927">
        <v>0</v>
      </c>
      <c r="J181" s="927"/>
      <c r="K181" s="927"/>
      <c r="L181" s="927" t="e">
        <f>+M155</f>
        <v>#N/A</v>
      </c>
      <c r="M181" s="878"/>
      <c r="N181" s="918"/>
      <c r="O181" s="137"/>
    </row>
    <row r="182" spans="1:15" ht="13.5" thickBot="1">
      <c r="A182" s="961" t="s">
        <v>226</v>
      </c>
      <c r="B182" s="962"/>
      <c r="C182" s="962"/>
      <c r="D182" s="962"/>
      <c r="E182" s="962"/>
      <c r="F182" s="928" t="e">
        <f>SUM(F176:H181)</f>
        <v>#N/A</v>
      </c>
      <c r="G182" s="929"/>
      <c r="H182" s="929"/>
      <c r="I182" s="928" t="e">
        <f>SUM(I176:K181)</f>
        <v>#N/A</v>
      </c>
      <c r="J182" s="929"/>
      <c r="K182" s="929"/>
      <c r="L182" s="928" t="e">
        <f>SUM(L176:N181)</f>
        <v>#N/A</v>
      </c>
      <c r="M182" s="929"/>
      <c r="N182" s="958"/>
      <c r="O182" s="137"/>
    </row>
    <row r="183" spans="1:15" ht="13.5" thickBot="1">
      <c r="A183" s="1065" t="s">
        <v>31</v>
      </c>
      <c r="B183" s="1066"/>
      <c r="C183" s="1066"/>
      <c r="D183" s="1066"/>
      <c r="E183" s="1066"/>
      <c r="F183" s="954" t="e">
        <f>+F174+F182</f>
        <v>#N/A</v>
      </c>
      <c r="G183" s="955"/>
      <c r="H183" s="955"/>
      <c r="I183" s="954" t="e">
        <f>+I174+I182</f>
        <v>#N/A</v>
      </c>
      <c r="J183" s="955"/>
      <c r="K183" s="955"/>
      <c r="L183" s="954" t="e">
        <f>+L174+L182</f>
        <v>#N/A</v>
      </c>
      <c r="M183" s="955"/>
      <c r="N183" s="960"/>
      <c r="O183" s="137"/>
    </row>
    <row r="185" spans="14:15" ht="12.75">
      <c r="N185" s="154"/>
      <c r="O185" s="154"/>
    </row>
    <row r="186" spans="2:15" ht="12.75">
      <c r="B186" s="862" t="s">
        <v>495</v>
      </c>
      <c r="C186" s="862"/>
      <c r="D186" s="862"/>
      <c r="E186" s="862"/>
      <c r="F186" s="862"/>
      <c r="G186" s="862"/>
      <c r="H186" s="862"/>
      <c r="I186" s="862"/>
      <c r="J186" s="862"/>
      <c r="K186" s="862"/>
      <c r="L186" s="862"/>
      <c r="M186" s="862"/>
      <c r="N186" s="154"/>
      <c r="O186" s="154"/>
    </row>
    <row r="187" spans="2:15" ht="13.5" thickBot="1">
      <c r="B187" s="863"/>
      <c r="C187" s="863"/>
      <c r="D187" s="863"/>
      <c r="E187" s="863"/>
      <c r="F187" s="863"/>
      <c r="G187" s="863"/>
      <c r="H187" s="863"/>
      <c r="I187" s="863"/>
      <c r="J187" s="863"/>
      <c r="K187" s="863"/>
      <c r="L187" s="863"/>
      <c r="M187" s="863"/>
      <c r="N187" s="137"/>
      <c r="O187" s="137"/>
    </row>
    <row r="188" spans="2:15" ht="12.75">
      <c r="B188" s="891" t="s">
        <v>16</v>
      </c>
      <c r="C188" s="952"/>
      <c r="D188" s="952"/>
      <c r="E188" s="875" t="s">
        <v>17</v>
      </c>
      <c r="F188" s="875"/>
      <c r="G188" s="875"/>
      <c r="H188" s="875" t="s">
        <v>18</v>
      </c>
      <c r="I188" s="875"/>
      <c r="J188" s="875"/>
      <c r="K188" s="875" t="s">
        <v>19</v>
      </c>
      <c r="L188" s="875"/>
      <c r="M188" s="876"/>
      <c r="N188" s="154"/>
      <c r="O188" s="154"/>
    </row>
    <row r="189" spans="2:15" ht="15.75" customHeight="1">
      <c r="B189" s="915" t="s">
        <v>28</v>
      </c>
      <c r="C189" s="977"/>
      <c r="D189" s="977"/>
      <c r="E189" s="877" t="s">
        <v>661</v>
      </c>
      <c r="F189" s="877"/>
      <c r="G189" s="877"/>
      <c r="H189" s="877" t="s">
        <v>233</v>
      </c>
      <c r="I189" s="877"/>
      <c r="J189" s="877"/>
      <c r="K189" s="867" t="s">
        <v>234</v>
      </c>
      <c r="L189" s="868"/>
      <c r="M189" s="868"/>
      <c r="N189" s="154"/>
      <c r="O189" s="154"/>
    </row>
    <row r="190" spans="2:13" ht="13.9" customHeight="1">
      <c r="B190" s="1018"/>
      <c r="C190" s="977"/>
      <c r="D190" s="977"/>
      <c r="E190" s="877"/>
      <c r="F190" s="877"/>
      <c r="G190" s="877"/>
      <c r="H190" s="877"/>
      <c r="I190" s="877"/>
      <c r="J190" s="877"/>
      <c r="K190" s="869"/>
      <c r="L190" s="870"/>
      <c r="M190" s="870"/>
    </row>
    <row r="191" spans="2:13" ht="19.15" customHeight="1">
      <c r="B191" s="1018"/>
      <c r="C191" s="977"/>
      <c r="D191" s="977"/>
      <c r="E191" s="877"/>
      <c r="F191" s="877"/>
      <c r="G191" s="877"/>
      <c r="H191" s="877"/>
      <c r="I191" s="877"/>
      <c r="J191" s="877"/>
      <c r="K191" s="871"/>
      <c r="L191" s="872"/>
      <c r="M191" s="872"/>
    </row>
    <row r="192" spans="2:13" ht="12.75">
      <c r="B192" s="1018"/>
      <c r="C192" s="977"/>
      <c r="D192" s="977"/>
      <c r="E192" s="878" t="s">
        <v>235</v>
      </c>
      <c r="F192" s="878"/>
      <c r="G192" s="878"/>
      <c r="H192" s="877"/>
      <c r="I192" s="877"/>
      <c r="J192" s="877"/>
      <c r="K192" s="873" t="s">
        <v>236</v>
      </c>
      <c r="L192" s="874"/>
      <c r="M192" s="874"/>
    </row>
    <row r="193" spans="2:13" ht="12.75">
      <c r="B193" s="879" t="s">
        <v>31</v>
      </c>
      <c r="C193" s="880"/>
      <c r="D193" s="880"/>
      <c r="E193" s="883" t="e">
        <f>+L183</f>
        <v>#N/A</v>
      </c>
      <c r="F193" s="883"/>
      <c r="G193" s="883"/>
      <c r="H193" s="866">
        <f>+$F$10</f>
        <v>0</v>
      </c>
      <c r="I193" s="866"/>
      <c r="J193" s="866"/>
      <c r="K193" s="883" t="e">
        <f>+E193/H193</f>
        <v>#N/A</v>
      </c>
      <c r="L193" s="883"/>
      <c r="M193" s="1073"/>
    </row>
    <row r="194" spans="2:13" ht="12.75">
      <c r="B194" s="879" t="s">
        <v>110</v>
      </c>
      <c r="C194" s="880"/>
      <c r="D194" s="880"/>
      <c r="E194" s="883" t="e">
        <f>+F183</f>
        <v>#N/A</v>
      </c>
      <c r="F194" s="883"/>
      <c r="G194" s="883"/>
      <c r="H194" s="866">
        <f>+$F$10</f>
        <v>0</v>
      </c>
      <c r="I194" s="866"/>
      <c r="J194" s="866"/>
      <c r="K194" s="883" t="e">
        <f>+E194/H194</f>
        <v>#N/A</v>
      </c>
      <c r="L194" s="883"/>
      <c r="M194" s="1073"/>
    </row>
    <row r="195" spans="2:13" ht="13.5" thickBot="1">
      <c r="B195" s="881" t="s">
        <v>111</v>
      </c>
      <c r="C195" s="882"/>
      <c r="D195" s="882"/>
      <c r="E195" s="1074" t="e">
        <f>+I183</f>
        <v>#N/A</v>
      </c>
      <c r="F195" s="1074"/>
      <c r="G195" s="1074"/>
      <c r="H195" s="884">
        <f>+$F$10</f>
        <v>0</v>
      </c>
      <c r="I195" s="884"/>
      <c r="J195" s="884"/>
      <c r="K195" s="1074" t="e">
        <f>+E195/H195</f>
        <v>#N/A</v>
      </c>
      <c r="L195" s="1074"/>
      <c r="M195" s="1075"/>
    </row>
    <row r="197" ht="13.5" thickBot="1"/>
    <row r="198" spans="3:12" ht="12.75">
      <c r="C198" s="864" t="s">
        <v>718</v>
      </c>
      <c r="D198" s="864"/>
      <c r="E198" s="864"/>
      <c r="F198" s="864"/>
      <c r="G198" s="864"/>
      <c r="H198" s="864"/>
      <c r="I198" s="864"/>
      <c r="J198" s="864"/>
      <c r="K198" s="864"/>
      <c r="L198" s="864"/>
    </row>
    <row r="199" spans="3:12" ht="13.9" customHeight="1" thickBot="1">
      <c r="C199" s="865"/>
      <c r="D199" s="865"/>
      <c r="E199" s="865"/>
      <c r="F199" s="865"/>
      <c r="G199" s="865"/>
      <c r="H199" s="865"/>
      <c r="I199" s="865"/>
      <c r="J199" s="865"/>
      <c r="K199" s="865"/>
      <c r="L199" s="865"/>
    </row>
    <row r="200" spans="3:12" ht="12.75">
      <c r="C200" s="895" t="s">
        <v>446</v>
      </c>
      <c r="D200" s="896" t="s">
        <v>423</v>
      </c>
      <c r="E200" s="897"/>
      <c r="F200" s="898"/>
      <c r="G200" s="896" t="s">
        <v>428</v>
      </c>
      <c r="H200" s="897"/>
      <c r="I200" s="898"/>
      <c r="J200" s="896" t="s">
        <v>429</v>
      </c>
      <c r="K200" s="897"/>
      <c r="L200" s="897"/>
    </row>
    <row r="201" spans="3:12" ht="13.5" thickBot="1">
      <c r="C201" s="895"/>
      <c r="D201" s="525" t="s">
        <v>420</v>
      </c>
      <c r="E201" s="899"/>
      <c r="F201" s="900"/>
      <c r="G201" s="525" t="s">
        <v>421</v>
      </c>
      <c r="H201" s="899"/>
      <c r="I201" s="900"/>
      <c r="J201" s="525" t="s">
        <v>422</v>
      </c>
      <c r="K201" s="899"/>
      <c r="L201" s="899"/>
    </row>
    <row r="202" spans="3:12" ht="51.75" customHeight="1">
      <c r="C202" s="895"/>
      <c r="D202" s="126" t="s">
        <v>424</v>
      </c>
      <c r="E202" s="126" t="s">
        <v>425</v>
      </c>
      <c r="F202" s="534" t="s">
        <v>426</v>
      </c>
      <c r="G202" s="126" t="s">
        <v>424</v>
      </c>
      <c r="H202" s="126" t="s">
        <v>425</v>
      </c>
      <c r="I202" s="534" t="s">
        <v>426</v>
      </c>
      <c r="J202" s="126" t="s">
        <v>424</v>
      </c>
      <c r="K202" s="126" t="s">
        <v>427</v>
      </c>
      <c r="L202" s="533" t="s">
        <v>430</v>
      </c>
    </row>
    <row r="203" spans="3:12" ht="25.15" customHeight="1" thickBot="1">
      <c r="C203" s="895"/>
      <c r="D203" s="127" t="s">
        <v>496</v>
      </c>
      <c r="E203" s="127" t="s">
        <v>497</v>
      </c>
      <c r="F203" s="535"/>
      <c r="G203" s="127" t="s">
        <v>498</v>
      </c>
      <c r="H203" s="127" t="s">
        <v>499</v>
      </c>
      <c r="I203" s="535"/>
      <c r="J203" s="127" t="s">
        <v>500</v>
      </c>
      <c r="K203" s="127" t="s">
        <v>501</v>
      </c>
      <c r="L203" s="525"/>
    </row>
    <row r="204" spans="3:12" ht="20.45" customHeight="1">
      <c r="C204" s="511"/>
      <c r="D204" s="165" t="e">
        <f>ROUND(E193,1)</f>
        <v>#N/A</v>
      </c>
      <c r="E204" s="165">
        <f>IF('Project Information'!$F$11="Predicted &amp; Expected",ROUND(SUMIF('Urban Site Total'!$B$11:$C$37,$C$7,'Urban Site Total'!$L$11:$L$37)+L180+L181,1),0)</f>
        <v>0</v>
      </c>
      <c r="F204" s="165">
        <f>IF('Project Information'!$F$11="Predicted &amp; Expected",IF(E204&gt;D204,ROUND(E204-D204,1),0),0)</f>
        <v>0</v>
      </c>
      <c r="G204" s="165" t="e">
        <f>ROUND(E194,1)</f>
        <v>#N/A</v>
      </c>
      <c r="H204" s="165">
        <f>IF('Project Information'!$F$11="Predicted &amp; Expected",+ROUND((+$E$204*$G$204/$D$204),1),0)</f>
        <v>0</v>
      </c>
      <c r="I204" s="165">
        <f>IF('Project Information'!$F$11="Predicted &amp; Expected",IF(H204&gt;G204,ROUND(H204-G204,1),0),0)</f>
        <v>0</v>
      </c>
      <c r="J204" s="165" t="e">
        <f>ROUND(E195,1)</f>
        <v>#N/A</v>
      </c>
      <c r="K204" s="165">
        <f>IF('Project Information'!$F$11="Predicted &amp; Expected",+ROUND((+$E$204*$J$204/$D$204),1),0)</f>
        <v>0</v>
      </c>
      <c r="L204" s="165">
        <f>IF('Project Information'!$F$11="Predicted &amp; Expected",IF(K204&gt;J204,ROUND(K204-J204,1),0),0)</f>
        <v>0</v>
      </c>
    </row>
    <row r="205" spans="3:12" ht="26.25" customHeight="1" thickBot="1">
      <c r="C205" s="894" t="s">
        <v>447</v>
      </c>
      <c r="D205" s="894"/>
      <c r="E205" s="894"/>
      <c r="F205" s="894"/>
      <c r="G205" s="894"/>
      <c r="H205" s="894"/>
      <c r="I205" s="894"/>
      <c r="J205" s="894"/>
      <c r="K205" s="894"/>
      <c r="L205" s="894"/>
    </row>
    <row r="206" spans="3:12" ht="12.75">
      <c r="C206" s="860" t="s">
        <v>719</v>
      </c>
      <c r="D206" s="860"/>
      <c r="E206" s="860"/>
      <c r="F206" s="860"/>
      <c r="G206" s="860"/>
      <c r="H206" s="860"/>
      <c r="I206" s="860"/>
      <c r="J206" s="860"/>
      <c r="K206" s="860"/>
      <c r="L206" s="860"/>
    </row>
  </sheetData>
  <mergeCells count="623">
    <mergeCell ref="O8:O9"/>
    <mergeCell ref="Q1:V1"/>
    <mergeCell ref="A1:N2"/>
    <mergeCell ref="A3:E3"/>
    <mergeCell ref="A4:B4"/>
    <mergeCell ref="A5:B5"/>
    <mergeCell ref="A6:B6"/>
    <mergeCell ref="A7:B7"/>
    <mergeCell ref="C7:E7"/>
    <mergeCell ref="C4:E4"/>
    <mergeCell ref="A8:E8"/>
    <mergeCell ref="A9:E9"/>
    <mergeCell ref="C5:E5"/>
    <mergeCell ref="C6:E6"/>
    <mergeCell ref="F4:G4"/>
    <mergeCell ref="F5:G5"/>
    <mergeCell ref="H4:N4"/>
    <mergeCell ref="H5:N5"/>
    <mergeCell ref="H6:N6"/>
    <mergeCell ref="H7:N7"/>
    <mergeCell ref="F3:N3"/>
    <mergeCell ref="K8:N8"/>
    <mergeCell ref="K9:N9"/>
    <mergeCell ref="K193:M193"/>
    <mergeCell ref="K194:M194"/>
    <mergeCell ref="K195:M195"/>
    <mergeCell ref="F6:G6"/>
    <mergeCell ref="F23:J23"/>
    <mergeCell ref="H188:J188"/>
    <mergeCell ref="F7:G7"/>
    <mergeCell ref="M135:N135"/>
    <mergeCell ref="M136:N136"/>
    <mergeCell ref="M141:N141"/>
    <mergeCell ref="F30:G30"/>
    <mergeCell ref="E194:G194"/>
    <mergeCell ref="E195:G195"/>
    <mergeCell ref="D106:E106"/>
    <mergeCell ref="F106:G106"/>
    <mergeCell ref="E188:G188"/>
    <mergeCell ref="B194:D194"/>
    <mergeCell ref="B188:D188"/>
    <mergeCell ref="A33:D34"/>
    <mergeCell ref="B189:D192"/>
    <mergeCell ref="A107:C107"/>
    <mergeCell ref="D132:E133"/>
    <mergeCell ref="A130:C133"/>
    <mergeCell ref="D130:E131"/>
    <mergeCell ref="G145:H145"/>
    <mergeCell ref="A113:C116"/>
    <mergeCell ref="A117:C117"/>
    <mergeCell ref="D117:E117"/>
    <mergeCell ref="A112:C112"/>
    <mergeCell ref="H113:I114"/>
    <mergeCell ref="F112:G112"/>
    <mergeCell ref="H112:I112"/>
    <mergeCell ref="D112:E112"/>
    <mergeCell ref="F118:G118"/>
    <mergeCell ref="F119:G119"/>
    <mergeCell ref="G146:H146"/>
    <mergeCell ref="A169:E169"/>
    <mergeCell ref="A170:E170"/>
    <mergeCell ref="A110:N111"/>
    <mergeCell ref="A146:B146"/>
    <mergeCell ref="M124:N124"/>
    <mergeCell ref="D124:E124"/>
    <mergeCell ref="A129:C129"/>
    <mergeCell ref="D129:E129"/>
    <mergeCell ref="F129:G129"/>
    <mergeCell ref="H124:I124"/>
    <mergeCell ref="I129:J129"/>
    <mergeCell ref="M132:N133"/>
    <mergeCell ref="F130:G131"/>
    <mergeCell ref="H130:H131"/>
    <mergeCell ref="I130:J131"/>
    <mergeCell ref="M130:N131"/>
    <mergeCell ref="I134:J134"/>
    <mergeCell ref="M134:N134"/>
    <mergeCell ref="I135:J135"/>
    <mergeCell ref="K134:L134"/>
    <mergeCell ref="K135:L135"/>
    <mergeCell ref="F134:G134"/>
    <mergeCell ref="D134:E134"/>
    <mergeCell ref="A171:E171"/>
    <mergeCell ref="A172:E172"/>
    <mergeCell ref="A173:E173"/>
    <mergeCell ref="A174:E174"/>
    <mergeCell ref="F172:H172"/>
    <mergeCell ref="M143:N144"/>
    <mergeCell ref="I143:J144"/>
    <mergeCell ref="F136:G136"/>
    <mergeCell ref="A141:B141"/>
    <mergeCell ref="C141:D141"/>
    <mergeCell ref="I136:J136"/>
    <mergeCell ref="K136:L136"/>
    <mergeCell ref="A136:C136"/>
    <mergeCell ref="L171:N171"/>
    <mergeCell ref="L172:N172"/>
    <mergeCell ref="L173:N173"/>
    <mergeCell ref="I169:K169"/>
    <mergeCell ref="I170:K170"/>
    <mergeCell ref="I171:K171"/>
    <mergeCell ref="F173:H173"/>
    <mergeCell ref="F169:H169"/>
    <mergeCell ref="F170:H170"/>
    <mergeCell ref="F171:H171"/>
    <mergeCell ref="G151:H151"/>
    <mergeCell ref="A183:E183"/>
    <mergeCell ref="F182:H182"/>
    <mergeCell ref="A176:E176"/>
    <mergeCell ref="D118:E118"/>
    <mergeCell ref="D119:E119"/>
    <mergeCell ref="D120:E120"/>
    <mergeCell ref="A121:C121"/>
    <mergeCell ref="D121:E121"/>
    <mergeCell ref="D122:E122"/>
    <mergeCell ref="A118:C118"/>
    <mergeCell ref="A119:C119"/>
    <mergeCell ref="A120:C120"/>
    <mergeCell ref="F120:G120"/>
    <mergeCell ref="F121:G121"/>
    <mergeCell ref="F122:G122"/>
    <mergeCell ref="A122:C122"/>
    <mergeCell ref="F123:G123"/>
    <mergeCell ref="F124:G124"/>
    <mergeCell ref="A145:B145"/>
    <mergeCell ref="G143:H144"/>
    <mergeCell ref="E141:F141"/>
    <mergeCell ref="G141:H141"/>
    <mergeCell ref="A135:C135"/>
    <mergeCell ref="A134:C134"/>
    <mergeCell ref="H119:I119"/>
    <mergeCell ref="H120:I120"/>
    <mergeCell ref="H121:I121"/>
    <mergeCell ref="H122:I122"/>
    <mergeCell ref="J118:L118"/>
    <mergeCell ref="J120:L120"/>
    <mergeCell ref="J121:L121"/>
    <mergeCell ref="H123:I123"/>
    <mergeCell ref="J123:L123"/>
    <mergeCell ref="J113:L114"/>
    <mergeCell ref="H117:I117"/>
    <mergeCell ref="F117:G117"/>
    <mergeCell ref="J116:L116"/>
    <mergeCell ref="H115:I116"/>
    <mergeCell ref="F115:G116"/>
    <mergeCell ref="J115:L115"/>
    <mergeCell ref="D113:E116"/>
    <mergeCell ref="J117:L117"/>
    <mergeCell ref="F113:G114"/>
    <mergeCell ref="H107:I107"/>
    <mergeCell ref="J107:K107"/>
    <mergeCell ref="L107:N107"/>
    <mergeCell ref="H106:I106"/>
    <mergeCell ref="J106:K106"/>
    <mergeCell ref="A103:C103"/>
    <mergeCell ref="D103:E103"/>
    <mergeCell ref="F103:G103"/>
    <mergeCell ref="H103:I103"/>
    <mergeCell ref="J103:K103"/>
    <mergeCell ref="L103:N103"/>
    <mergeCell ref="L104:N104"/>
    <mergeCell ref="L106:N106"/>
    <mergeCell ref="D107:E107"/>
    <mergeCell ref="F107:G107"/>
    <mergeCell ref="A104:C104"/>
    <mergeCell ref="D104:E104"/>
    <mergeCell ref="F104:G104"/>
    <mergeCell ref="A105:C105"/>
    <mergeCell ref="D105:E105"/>
    <mergeCell ref="F105:G105"/>
    <mergeCell ref="H105:I105"/>
    <mergeCell ref="A102:C102"/>
    <mergeCell ref="D102:E102"/>
    <mergeCell ref="F102:G102"/>
    <mergeCell ref="A97:C101"/>
    <mergeCell ref="F100:G101"/>
    <mergeCell ref="D97:E99"/>
    <mergeCell ref="J105:K105"/>
    <mergeCell ref="L105:N105"/>
    <mergeCell ref="A106:C106"/>
    <mergeCell ref="L100:N101"/>
    <mergeCell ref="H102:I102"/>
    <mergeCell ref="L102:N102"/>
    <mergeCell ref="N56:N57"/>
    <mergeCell ref="M56:M57"/>
    <mergeCell ref="N51:N52"/>
    <mergeCell ref="N53:N54"/>
    <mergeCell ref="G55:H55"/>
    <mergeCell ref="G56:H57"/>
    <mergeCell ref="L56:L57"/>
    <mergeCell ref="I56:J56"/>
    <mergeCell ref="C47:E47"/>
    <mergeCell ref="C53:D53"/>
    <mergeCell ref="E51:F52"/>
    <mergeCell ref="L51:L52"/>
    <mergeCell ref="L53:L54"/>
    <mergeCell ref="I50:J50"/>
    <mergeCell ref="E53:F54"/>
    <mergeCell ref="G53:H54"/>
    <mergeCell ref="K53:K54"/>
    <mergeCell ref="G51:H52"/>
    <mergeCell ref="I51:J54"/>
    <mergeCell ref="M51:M54"/>
    <mergeCell ref="K51:K52"/>
    <mergeCell ref="K56:K57"/>
    <mergeCell ref="K24:N24"/>
    <mergeCell ref="K25:N25"/>
    <mergeCell ref="K26:N26"/>
    <mergeCell ref="K27:N27"/>
    <mergeCell ref="F25:J25"/>
    <mergeCell ref="F24:J24"/>
    <mergeCell ref="G50:H50"/>
    <mergeCell ref="M45:N45"/>
    <mergeCell ref="J41:L42"/>
    <mergeCell ref="F41:G42"/>
    <mergeCell ref="H45:I45"/>
    <mergeCell ref="J45:L45"/>
    <mergeCell ref="F45:G45"/>
    <mergeCell ref="M43:N43"/>
    <mergeCell ref="M44:N44"/>
    <mergeCell ref="F33:G33"/>
    <mergeCell ref="F34:G34"/>
    <mergeCell ref="M40:N40"/>
    <mergeCell ref="M41:N42"/>
    <mergeCell ref="F31:G31"/>
    <mergeCell ref="F32:G32"/>
    <mergeCell ref="A28:N28"/>
    <mergeCell ref="A29:D30"/>
    <mergeCell ref="F29:G29"/>
    <mergeCell ref="C40:E40"/>
    <mergeCell ref="F40:G40"/>
    <mergeCell ref="A44:B44"/>
    <mergeCell ref="C44:E44"/>
    <mergeCell ref="C43:E43"/>
    <mergeCell ref="F43:G43"/>
    <mergeCell ref="H43:I43"/>
    <mergeCell ref="J43:L43"/>
    <mergeCell ref="J44:L44"/>
    <mergeCell ref="F44:G44"/>
    <mergeCell ref="H44:I44"/>
    <mergeCell ref="H40:I40"/>
    <mergeCell ref="H41:I42"/>
    <mergeCell ref="K10:N10"/>
    <mergeCell ref="K11:N11"/>
    <mergeCell ref="F13:J13"/>
    <mergeCell ref="F12:J12"/>
    <mergeCell ref="A12:E12"/>
    <mergeCell ref="A13:E13"/>
    <mergeCell ref="K12:N12"/>
    <mergeCell ref="K13:N13"/>
    <mergeCell ref="A10:E10"/>
    <mergeCell ref="F16:J16"/>
    <mergeCell ref="F14:J14"/>
    <mergeCell ref="F15:J15"/>
    <mergeCell ref="F18:J18"/>
    <mergeCell ref="F19:J19"/>
    <mergeCell ref="F20:J20"/>
    <mergeCell ref="F8:J8"/>
    <mergeCell ref="F10:J10"/>
    <mergeCell ref="F9:J9"/>
    <mergeCell ref="F11:J11"/>
    <mergeCell ref="C58:C59"/>
    <mergeCell ref="D58:D59"/>
    <mergeCell ref="E58:F59"/>
    <mergeCell ref="F22:J22"/>
    <mergeCell ref="F17:J17"/>
    <mergeCell ref="F21:J21"/>
    <mergeCell ref="C45:E45"/>
    <mergeCell ref="A31:D32"/>
    <mergeCell ref="J64:K64"/>
    <mergeCell ref="C51:D52"/>
    <mergeCell ref="I55:J55"/>
    <mergeCell ref="I57:J57"/>
    <mergeCell ref="C56:C57"/>
    <mergeCell ref="D56:D57"/>
    <mergeCell ref="A55:B55"/>
    <mergeCell ref="A56:B57"/>
    <mergeCell ref="D64:E64"/>
    <mergeCell ref="E56:F57"/>
    <mergeCell ref="E55:F55"/>
    <mergeCell ref="A58:B59"/>
    <mergeCell ref="A41:B42"/>
    <mergeCell ref="C41:E42"/>
    <mergeCell ref="J40:L40"/>
    <mergeCell ref="A40:B40"/>
    <mergeCell ref="M58:M59"/>
    <mergeCell ref="N58:N59"/>
    <mergeCell ref="I58:J58"/>
    <mergeCell ref="G58:H59"/>
    <mergeCell ref="K58:K59"/>
    <mergeCell ref="L58:L59"/>
    <mergeCell ref="G87:H87"/>
    <mergeCell ref="I87:J87"/>
    <mergeCell ref="G82:H82"/>
    <mergeCell ref="G85:H86"/>
    <mergeCell ref="H76:I76"/>
    <mergeCell ref="J76:K76"/>
    <mergeCell ref="J77:K77"/>
    <mergeCell ref="F64:G64"/>
    <mergeCell ref="L76:N76"/>
    <mergeCell ref="H77:I77"/>
    <mergeCell ref="H64:I64"/>
    <mergeCell ref="L73:N73"/>
    <mergeCell ref="L74:N74"/>
    <mergeCell ref="L75:N75"/>
    <mergeCell ref="J75:K75"/>
    <mergeCell ref="J73:K73"/>
    <mergeCell ref="J74:K74"/>
    <mergeCell ref="H73:I73"/>
    <mergeCell ref="A96:C96"/>
    <mergeCell ref="D96:E96"/>
    <mergeCell ref="D77:E77"/>
    <mergeCell ref="A80:N81"/>
    <mergeCell ref="A94:N95"/>
    <mergeCell ref="A88:B89"/>
    <mergeCell ref="M83:M86"/>
    <mergeCell ref="L90:L91"/>
    <mergeCell ref="L83:L84"/>
    <mergeCell ref="I91:J91"/>
    <mergeCell ref="I83:J86"/>
    <mergeCell ref="G88:H89"/>
    <mergeCell ref="I82:J82"/>
    <mergeCell ref="L85:L86"/>
    <mergeCell ref="N85:N86"/>
    <mergeCell ref="I88:J88"/>
    <mergeCell ref="K88:K89"/>
    <mergeCell ref="A90:B91"/>
    <mergeCell ref="C90:C91"/>
    <mergeCell ref="D90:D91"/>
    <mergeCell ref="E90:F91"/>
    <mergeCell ref="G90:H91"/>
    <mergeCell ref="I90:J90"/>
    <mergeCell ref="F96:G96"/>
    <mergeCell ref="H65:I67"/>
    <mergeCell ref="J65:K67"/>
    <mergeCell ref="H68:I69"/>
    <mergeCell ref="J68:K69"/>
    <mergeCell ref="A76:C76"/>
    <mergeCell ref="A77:C77"/>
    <mergeCell ref="C88:C89"/>
    <mergeCell ref="F76:G76"/>
    <mergeCell ref="F77:G77"/>
    <mergeCell ref="D88:D89"/>
    <mergeCell ref="E88:F89"/>
    <mergeCell ref="F68:G69"/>
    <mergeCell ref="F65:G67"/>
    <mergeCell ref="D65:E67"/>
    <mergeCell ref="D68:E69"/>
    <mergeCell ref="F75:G75"/>
    <mergeCell ref="A51:B54"/>
    <mergeCell ref="C50:D50"/>
    <mergeCell ref="D71:E71"/>
    <mergeCell ref="A72:C72"/>
    <mergeCell ref="A71:C71"/>
    <mergeCell ref="A64:C64"/>
    <mergeCell ref="A62:N63"/>
    <mergeCell ref="L64:N64"/>
    <mergeCell ref="L65:N67"/>
    <mergeCell ref="L68:N69"/>
    <mergeCell ref="L70:N70"/>
    <mergeCell ref="J71:K71"/>
    <mergeCell ref="L71:N71"/>
    <mergeCell ref="J72:K72"/>
    <mergeCell ref="L72:N72"/>
    <mergeCell ref="H71:I71"/>
    <mergeCell ref="H72:I72"/>
    <mergeCell ref="D70:E70"/>
    <mergeCell ref="H70:I70"/>
    <mergeCell ref="A70:C70"/>
    <mergeCell ref="F70:G70"/>
    <mergeCell ref="J70:K70"/>
    <mergeCell ref="A65:C69"/>
    <mergeCell ref="D73:E73"/>
    <mergeCell ref="D74:E74"/>
    <mergeCell ref="D75:E75"/>
    <mergeCell ref="D76:E76"/>
    <mergeCell ref="I59:J59"/>
    <mergeCell ref="A75:C75"/>
    <mergeCell ref="A73:C73"/>
    <mergeCell ref="D100:E101"/>
    <mergeCell ref="A50:B50"/>
    <mergeCell ref="E50:F50"/>
    <mergeCell ref="A74:C74"/>
    <mergeCell ref="A87:B87"/>
    <mergeCell ref="E87:F87"/>
    <mergeCell ref="A83:B86"/>
    <mergeCell ref="C83:D84"/>
    <mergeCell ref="E83:F84"/>
    <mergeCell ref="C82:D82"/>
    <mergeCell ref="E82:F82"/>
    <mergeCell ref="C85:D85"/>
    <mergeCell ref="E85:F86"/>
    <mergeCell ref="A82:B82"/>
    <mergeCell ref="F72:G72"/>
    <mergeCell ref="F73:G73"/>
    <mergeCell ref="F74:G74"/>
    <mergeCell ref="L77:N77"/>
    <mergeCell ref="M113:N114"/>
    <mergeCell ref="J102:K102"/>
    <mergeCell ref="H100:I101"/>
    <mergeCell ref="H104:I104"/>
    <mergeCell ref="M112:N112"/>
    <mergeCell ref="M90:M91"/>
    <mergeCell ref="N90:N91"/>
    <mergeCell ref="L96:N96"/>
    <mergeCell ref="N88:N89"/>
    <mergeCell ref="I89:J89"/>
    <mergeCell ref="G83:H84"/>
    <mergeCell ref="H97:I99"/>
    <mergeCell ref="J97:K99"/>
    <mergeCell ref="L97:N99"/>
    <mergeCell ref="N83:N84"/>
    <mergeCell ref="K83:K84"/>
    <mergeCell ref="F97:G99"/>
    <mergeCell ref="L88:L89"/>
    <mergeCell ref="M88:M89"/>
    <mergeCell ref="K85:K86"/>
    <mergeCell ref="H96:I96"/>
    <mergeCell ref="J96:K96"/>
    <mergeCell ref="K90:K91"/>
    <mergeCell ref="L169:N169"/>
    <mergeCell ref="I183:K183"/>
    <mergeCell ref="F176:H176"/>
    <mergeCell ref="F177:H177"/>
    <mergeCell ref="F178:H178"/>
    <mergeCell ref="F179:H179"/>
    <mergeCell ref="A182:E182"/>
    <mergeCell ref="I162:K162"/>
    <mergeCell ref="M115:N116"/>
    <mergeCell ref="K129:L129"/>
    <mergeCell ref="H132:H133"/>
    <mergeCell ref="I132:J133"/>
    <mergeCell ref="K130:L133"/>
    <mergeCell ref="F132:G133"/>
    <mergeCell ref="A127:N128"/>
    <mergeCell ref="M129:N129"/>
    <mergeCell ref="J124:L124"/>
    <mergeCell ref="A123:C123"/>
    <mergeCell ref="D123:E123"/>
    <mergeCell ref="A124:C124"/>
    <mergeCell ref="M117:N123"/>
    <mergeCell ref="J119:L119"/>
    <mergeCell ref="J122:L122"/>
    <mergeCell ref="H118:I118"/>
    <mergeCell ref="J100:K101"/>
    <mergeCell ref="F183:H183"/>
    <mergeCell ref="L180:N180"/>
    <mergeCell ref="L181:N181"/>
    <mergeCell ref="L176:N176"/>
    <mergeCell ref="L177:N177"/>
    <mergeCell ref="L178:N178"/>
    <mergeCell ref="L165:N165"/>
    <mergeCell ref="L174:N174"/>
    <mergeCell ref="F161:H161"/>
    <mergeCell ref="L179:N179"/>
    <mergeCell ref="I176:K176"/>
    <mergeCell ref="I177:K177"/>
    <mergeCell ref="I178:K178"/>
    <mergeCell ref="I179:K179"/>
    <mergeCell ref="F165:H165"/>
    <mergeCell ref="I163:K163"/>
    <mergeCell ref="I164:K165"/>
    <mergeCell ref="L163:N163"/>
    <mergeCell ref="L182:N182"/>
    <mergeCell ref="L183:N183"/>
    <mergeCell ref="I172:K172"/>
    <mergeCell ref="I173:K173"/>
    <mergeCell ref="F174:H174"/>
    <mergeCell ref="A181:E181"/>
    <mergeCell ref="A180:E180"/>
    <mergeCell ref="F180:H180"/>
    <mergeCell ref="L170:N170"/>
    <mergeCell ref="F27:J27"/>
    <mergeCell ref="H34:I34"/>
    <mergeCell ref="H33:I33"/>
    <mergeCell ref="I146:J146"/>
    <mergeCell ref="I141:J141"/>
    <mergeCell ref="F135:G135"/>
    <mergeCell ref="A38:N39"/>
    <mergeCell ref="A48:N49"/>
    <mergeCell ref="A43:B43"/>
    <mergeCell ref="I142:J142"/>
    <mergeCell ref="L142:L144"/>
    <mergeCell ref="D135:E135"/>
    <mergeCell ref="D136:E136"/>
    <mergeCell ref="E142:F142"/>
    <mergeCell ref="E143:F144"/>
    <mergeCell ref="C142:D142"/>
    <mergeCell ref="J104:K104"/>
    <mergeCell ref="K143:K144"/>
    <mergeCell ref="J112:L112"/>
    <mergeCell ref="H74:I74"/>
    <mergeCell ref="I161:K161"/>
    <mergeCell ref="L161:N161"/>
    <mergeCell ref="M155:N155"/>
    <mergeCell ref="L152:L154"/>
    <mergeCell ref="I180:K180"/>
    <mergeCell ref="I182:K182"/>
    <mergeCell ref="I181:K181"/>
    <mergeCell ref="F181:H181"/>
    <mergeCell ref="L168:N168"/>
    <mergeCell ref="F163:H163"/>
    <mergeCell ref="F164:H164"/>
    <mergeCell ref="I167:K167"/>
    <mergeCell ref="I168:K168"/>
    <mergeCell ref="F167:H167"/>
    <mergeCell ref="I174:K174"/>
    <mergeCell ref="A175:N175"/>
    <mergeCell ref="A166:N166"/>
    <mergeCell ref="A168:E168"/>
    <mergeCell ref="L167:N167"/>
    <mergeCell ref="A162:E165"/>
    <mergeCell ref="F168:H168"/>
    <mergeCell ref="A177:E177"/>
    <mergeCell ref="A178:E178"/>
    <mergeCell ref="A179:E179"/>
    <mergeCell ref="K14:N14"/>
    <mergeCell ref="K15:N15"/>
    <mergeCell ref="K16:N16"/>
    <mergeCell ref="K17:N17"/>
    <mergeCell ref="E155:F155"/>
    <mergeCell ref="I155:J155"/>
    <mergeCell ref="A14:E14"/>
    <mergeCell ref="A15:E15"/>
    <mergeCell ref="A16:E16"/>
    <mergeCell ref="A17:E17"/>
    <mergeCell ref="A18:E18"/>
    <mergeCell ref="A19:E19"/>
    <mergeCell ref="A20:E20"/>
    <mergeCell ref="A155:B155"/>
    <mergeCell ref="C155:D155"/>
    <mergeCell ref="K18:N18"/>
    <mergeCell ref="K19:N19"/>
    <mergeCell ref="K20:N20"/>
    <mergeCell ref="K21:N21"/>
    <mergeCell ref="K22:N22"/>
    <mergeCell ref="K23:N23"/>
    <mergeCell ref="F26:J26"/>
    <mergeCell ref="I151:J151"/>
    <mergeCell ref="M151:N151"/>
    <mergeCell ref="C145:D145"/>
    <mergeCell ref="C146:D146"/>
    <mergeCell ref="G155:H155"/>
    <mergeCell ref="A45:B45"/>
    <mergeCell ref="C143:D144"/>
    <mergeCell ref="A139:N140"/>
    <mergeCell ref="A142:B144"/>
    <mergeCell ref="G142:H142"/>
    <mergeCell ref="M142:N142"/>
    <mergeCell ref="A152:B154"/>
    <mergeCell ref="C152:D152"/>
    <mergeCell ref="E152:F152"/>
    <mergeCell ref="G152:H152"/>
    <mergeCell ref="I152:J152"/>
    <mergeCell ref="C153:D154"/>
    <mergeCell ref="E153:F154"/>
    <mergeCell ref="G153:H154"/>
    <mergeCell ref="I153:J154"/>
    <mergeCell ref="M152:N152"/>
    <mergeCell ref="K153:K154"/>
    <mergeCell ref="M153:N154"/>
    <mergeCell ref="H75:I75"/>
    <mergeCell ref="F71:G71"/>
    <mergeCell ref="D72:E72"/>
    <mergeCell ref="A21:E21"/>
    <mergeCell ref="A22:E22"/>
    <mergeCell ref="A23:E23"/>
    <mergeCell ref="A24:E24"/>
    <mergeCell ref="A25:E25"/>
    <mergeCell ref="A26:E26"/>
    <mergeCell ref="A27:E27"/>
    <mergeCell ref="H32:I32"/>
    <mergeCell ref="H31:I31"/>
    <mergeCell ref="H30:I30"/>
    <mergeCell ref="H29:I29"/>
    <mergeCell ref="E146:F146"/>
    <mergeCell ref="F202:F203"/>
    <mergeCell ref="I202:I203"/>
    <mergeCell ref="L202:L203"/>
    <mergeCell ref="C205:L205"/>
    <mergeCell ref="C200:C204"/>
    <mergeCell ref="D200:F200"/>
    <mergeCell ref="G200:I200"/>
    <mergeCell ref="J200:L200"/>
    <mergeCell ref="D201:F201"/>
    <mergeCell ref="G201:I201"/>
    <mergeCell ref="J201:L201"/>
    <mergeCell ref="L164:N164"/>
    <mergeCell ref="F162:H162"/>
    <mergeCell ref="A167:E167"/>
    <mergeCell ref="A159:N160"/>
    <mergeCell ref="L162:N162"/>
    <mergeCell ref="A161:E161"/>
    <mergeCell ref="A156:B156"/>
    <mergeCell ref="C156:D156"/>
    <mergeCell ref="E156:F156"/>
    <mergeCell ref="G156:H156"/>
    <mergeCell ref="I156:J156"/>
    <mergeCell ref="M156:N156"/>
    <mergeCell ref="C206:L206"/>
    <mergeCell ref="O29:O34"/>
    <mergeCell ref="B186:M187"/>
    <mergeCell ref="C198:L199"/>
    <mergeCell ref="H193:J193"/>
    <mergeCell ref="H194:J194"/>
    <mergeCell ref="K189:M191"/>
    <mergeCell ref="K192:M192"/>
    <mergeCell ref="K188:M188"/>
    <mergeCell ref="E189:G191"/>
    <mergeCell ref="H189:J192"/>
    <mergeCell ref="E192:G192"/>
    <mergeCell ref="B193:D193"/>
    <mergeCell ref="B195:D195"/>
    <mergeCell ref="E193:G193"/>
    <mergeCell ref="H195:J195"/>
    <mergeCell ref="M146:N146"/>
    <mergeCell ref="E145:F145"/>
    <mergeCell ref="I145:J145"/>
    <mergeCell ref="M145:N145"/>
    <mergeCell ref="A149:N150"/>
    <mergeCell ref="A151:B151"/>
    <mergeCell ref="C151:D151"/>
    <mergeCell ref="E151:F151"/>
  </mergeCells>
  <conditionalFormatting sqref="F11:J11">
    <cfRule type="cellIs" priority="7" dxfId="1" operator="greaterThan" stopIfTrue="1">
      <formula>$D$11</formula>
    </cfRule>
  </conditionalFormatting>
  <dataValidations count="14">
    <dataValidation type="whole" allowBlank="1" showInputMessage="1" showErrorMessage="1" error="Invalid input. Acceptable range is between 0 and the maximum AADT." sqref="F11:J11">
      <formula1>0</formula1>
      <formula2>D11*1.2</formula2>
    </dataValidation>
    <dataValidation type="decimal" allowBlank="1" showInputMessage="1" showErrorMessage="1" sqref="F27:J27">
      <formula1>0</formula1>
      <formula2>10</formula2>
    </dataValidation>
    <dataValidation type="list" allowBlank="1" showInputMessage="1" showErrorMessage="1" sqref="F14:J14">
      <formula1>IF($F$9="4D",$AA$17:$AA$27,$AA$28)</formula1>
    </dataValidation>
    <dataValidation type="list" operator="greaterThan" allowBlank="1" showInputMessage="1" showErrorMessage="1" sqref="F9:J9">
      <formula1>RType</formula1>
    </dataValidation>
    <dataValidation type="decimal" operator="greaterThan" allowBlank="1" showInputMessage="1" showErrorMessage="1" sqref="F10:J10">
      <formula1>0</formula1>
    </dataValidation>
    <dataValidation type="decimal" allowBlank="1" showInputMessage="1" showErrorMessage="1" error="Invalid input. Acceptable range is between 0 and 1." sqref="F13:J13">
      <formula1>IF(F12="None",0,0.01)</formula1>
      <formula2>IF(F12="None",0,1)</formula2>
    </dataValidation>
    <dataValidation type="list" allowBlank="1" showInputMessage="1" showErrorMessage="1" sqref="F15:J16">
      <formula1>PresOrNot</formula1>
    </dataValidation>
    <dataValidation type="list" allowBlank="1" showInputMessage="1" showErrorMessage="1" sqref="F12:J12">
      <formula1>OnStreetType</formula1>
    </dataValidation>
    <dataValidation type="decimal" operator="greaterThanOrEqual" allowBlank="1" showInputMessage="1" showErrorMessage="1" sqref="F25:J25">
      <formula1>0</formula1>
    </dataValidation>
    <dataValidation type="decimal" operator="greaterThanOrEqual" allowBlank="1" showInputMessage="1" showErrorMessage="1" sqref="H29:I34">
      <formula1>0</formula1>
    </dataValidation>
    <dataValidation type="list" allowBlank="1" showInputMessage="1" showErrorMessage="1" sqref="F24:J24">
      <formula1>Posted</formula1>
    </dataValidation>
    <dataValidation type="whole" allowBlank="1" showInputMessage="1" showErrorMessage="1" sqref="F26:J26">
      <formula1>2</formula1>
      <formula2>30</formula2>
    </dataValidation>
    <dataValidation type="whole" operator="greaterThan" allowBlank="1" showInputMessage="1" showErrorMessage="1" sqref="O7:P7">
      <formula1>1990</formula1>
    </dataValidation>
    <dataValidation type="whole" operator="greaterThanOrEqual" allowBlank="1" showInputMessage="1" showErrorMessage="1" error="Invalid input. Acceptable values are greater than or equal to 0." sqref="F17:J23">
      <formula1>0</formula1>
    </dataValidation>
  </dataValidations>
  <printOptions horizontalCentered="1"/>
  <pageMargins left="0.7" right="0.7" top="0.75" bottom="0.75" header="0.3" footer="0.3"/>
  <pageSetup fitToHeight="0" fitToWidth="1" horizontalDpi="600" verticalDpi="600" orientation="landscape" scale="64"/>
  <headerFooter>
    <oddFooter>&amp;C&amp;G&amp;R&amp;P</oddFooter>
  </headerFooter>
  <rowBreaks count="3" manualBreakCount="3">
    <brk id="47" max="16383" man="1"/>
    <brk id="108" max="16383" man="1"/>
    <brk id="158" max="16383" man="1"/>
  </rowBreaks>
  <drawing r:id="rId1"/>
  <legacyDrawingHF r:id="rId2"/>
</worksheet>
</file>

<file path=xl/worksheets/sheet8.xml><?xml version="1.0" encoding="utf-8"?>
<worksheet xmlns="http://schemas.openxmlformats.org/spreadsheetml/2006/main" xmlns:r="http://schemas.openxmlformats.org/officeDocument/2006/relationships">
  <sheetPr codeName="Sheet6"/>
  <dimension ref="A1:CJ204"/>
  <sheetViews>
    <sheetView zoomScale="90" zoomScaleNormal="90" zoomScalePageLayoutView="70" workbookViewId="0" topLeftCell="A1">
      <selection activeCell="A4" sqref="A4:B4"/>
    </sheetView>
  </sheetViews>
  <sheetFormatPr defaultColWidth="9.140625" defaultRowHeight="12.75"/>
  <cols>
    <col min="1" max="2" width="11.7109375" style="138" customWidth="1"/>
    <col min="3" max="3" width="12.8515625" style="138" customWidth="1"/>
    <col min="4" max="4" width="14.57421875" style="138" customWidth="1"/>
    <col min="5" max="5" width="13.140625" style="138" customWidth="1"/>
    <col min="6" max="6" width="11.7109375" style="138" customWidth="1"/>
    <col min="7" max="7" width="13.57421875" style="138" customWidth="1"/>
    <col min="8" max="8" width="15.7109375" style="138" customWidth="1"/>
    <col min="9" max="9" width="12.28125" style="138" customWidth="1"/>
    <col min="10" max="10" width="12.140625" style="138" customWidth="1"/>
    <col min="11" max="11" width="14.00390625" style="138" customWidth="1"/>
    <col min="12" max="12" width="13.421875" style="138" customWidth="1"/>
    <col min="13" max="14" width="10.7109375" style="138" customWidth="1"/>
    <col min="15" max="15" width="13.7109375" style="173" customWidth="1"/>
    <col min="16" max="24" width="10.7109375" style="173" customWidth="1"/>
    <col min="25" max="25" width="14.28125" style="138" customWidth="1"/>
    <col min="26" max="26" width="12.28125" style="138" customWidth="1"/>
    <col min="27" max="27" width="15.140625" style="138" customWidth="1"/>
    <col min="28" max="28" width="9.140625" style="138" customWidth="1"/>
    <col min="29" max="29" width="16.7109375" style="138" customWidth="1"/>
    <col min="30" max="32" width="13.7109375" style="138" customWidth="1"/>
    <col min="33" max="16384" width="9.140625" style="138" customWidth="1"/>
  </cols>
  <sheetData>
    <row r="1" spans="1:23" ht="13.5" thickBot="1">
      <c r="A1" s="862" t="s">
        <v>549</v>
      </c>
      <c r="B1" s="862"/>
      <c r="C1" s="862"/>
      <c r="D1" s="862"/>
      <c r="E1" s="862"/>
      <c r="F1" s="862"/>
      <c r="G1" s="862"/>
      <c r="H1" s="862"/>
      <c r="I1" s="862"/>
      <c r="J1" s="862"/>
      <c r="K1" s="862"/>
      <c r="L1" s="862"/>
      <c r="M1" s="862"/>
      <c r="N1" s="862"/>
      <c r="R1" s="1079" t="s">
        <v>700</v>
      </c>
      <c r="S1" s="1079"/>
      <c r="T1" s="1079"/>
      <c r="U1" s="1079"/>
      <c r="V1" s="1079"/>
      <c r="W1" s="1079"/>
    </row>
    <row r="2" spans="1:38" ht="14.25" customHeight="1" thickBot="1" thickTop="1">
      <c r="A2" s="863"/>
      <c r="B2" s="863"/>
      <c r="C2" s="863"/>
      <c r="D2" s="863"/>
      <c r="E2" s="863"/>
      <c r="F2" s="863"/>
      <c r="G2" s="863"/>
      <c r="H2" s="863"/>
      <c r="I2" s="863"/>
      <c r="J2" s="863"/>
      <c r="K2" s="863"/>
      <c r="L2" s="863"/>
      <c r="M2" s="863"/>
      <c r="N2" s="863"/>
      <c r="O2" s="134"/>
      <c r="P2" s="134"/>
      <c r="Q2" s="302"/>
      <c r="R2" s="308"/>
      <c r="S2" s="309"/>
      <c r="T2" s="309"/>
      <c r="U2" s="309"/>
      <c r="V2" s="309"/>
      <c r="W2" s="344"/>
      <c r="X2" s="302"/>
      <c r="AG2" s="154"/>
      <c r="AH2" s="154"/>
      <c r="AI2" s="154"/>
      <c r="AJ2" s="154"/>
      <c r="AK2" s="154"/>
      <c r="AL2" s="154"/>
    </row>
    <row r="3" spans="1:88" ht="16.5" customHeight="1">
      <c r="A3" s="1080" t="s">
        <v>0</v>
      </c>
      <c r="B3" s="1080"/>
      <c r="C3" s="1080"/>
      <c r="D3" s="1080"/>
      <c r="E3" s="1081"/>
      <c r="F3" s="1094" t="s">
        <v>8</v>
      </c>
      <c r="G3" s="1080"/>
      <c r="H3" s="1080"/>
      <c r="I3" s="1080"/>
      <c r="J3" s="1080"/>
      <c r="K3" s="1080"/>
      <c r="L3" s="1080"/>
      <c r="M3" s="1080"/>
      <c r="N3" s="1080"/>
      <c r="O3" s="133"/>
      <c r="P3" s="133"/>
      <c r="Q3" s="304"/>
      <c r="R3" s="311"/>
      <c r="S3" s="312"/>
      <c r="T3" s="312"/>
      <c r="U3" s="312"/>
      <c r="V3" s="312"/>
      <c r="W3" s="345"/>
      <c r="X3" s="304"/>
      <c r="Y3" s="133"/>
      <c r="AA3" s="174" t="s">
        <v>550</v>
      </c>
      <c r="AE3" s="173"/>
      <c r="AF3" s="173"/>
      <c r="AG3" s="134"/>
      <c r="AH3" s="134"/>
      <c r="AI3" s="134"/>
      <c r="AJ3" s="134"/>
      <c r="AK3" s="134"/>
      <c r="AL3" s="134"/>
      <c r="AM3" s="173"/>
      <c r="AN3" s="173"/>
      <c r="AO3" s="173"/>
      <c r="AP3" s="173"/>
      <c r="AQ3" s="173"/>
      <c r="AR3" s="173"/>
      <c r="AS3" s="173"/>
      <c r="AT3" s="173"/>
      <c r="AU3" s="173"/>
      <c r="BU3" s="154"/>
      <c r="BV3" s="154"/>
      <c r="BW3" s="147"/>
      <c r="BX3" s="147"/>
      <c r="BY3" s="147"/>
      <c r="BZ3" s="147"/>
      <c r="CA3" s="134"/>
      <c r="CB3" s="134"/>
      <c r="CC3" s="134"/>
      <c r="CD3" s="134"/>
      <c r="CE3" s="147"/>
      <c r="CF3" s="147"/>
      <c r="CG3" s="147"/>
      <c r="CH3" s="147"/>
      <c r="CI3" s="147"/>
      <c r="CJ3" s="134"/>
    </row>
    <row r="4" spans="1:88" ht="16.5" customHeight="1">
      <c r="A4" s="1072" t="s">
        <v>1</v>
      </c>
      <c r="B4" s="1107"/>
      <c r="C4" s="1087" t="str">
        <f>'Project Information'!B6</f>
        <v>John Smith</v>
      </c>
      <c r="D4" s="1087"/>
      <c r="E4" s="1087"/>
      <c r="F4" s="1017" t="s">
        <v>9</v>
      </c>
      <c r="G4" s="1017"/>
      <c r="H4" s="1090" t="e">
        <f>VLOOKUP($C$7,'Project Information'!$A$19:$H$92,2,FALSE)</f>
        <v>#N/A</v>
      </c>
      <c r="I4" s="1090"/>
      <c r="J4" s="1090"/>
      <c r="K4" s="1090"/>
      <c r="L4" s="1090"/>
      <c r="M4" s="1090"/>
      <c r="N4" s="1092"/>
      <c r="O4" s="134"/>
      <c r="P4" s="134"/>
      <c r="Q4" s="302"/>
      <c r="R4" s="311"/>
      <c r="S4" s="312"/>
      <c r="T4" s="312"/>
      <c r="U4" s="312"/>
      <c r="V4" s="312"/>
      <c r="W4" s="345"/>
      <c r="X4" s="302"/>
      <c r="Y4" s="1051"/>
      <c r="Z4" s="1051"/>
      <c r="AD4" s="154"/>
      <c r="AE4" s="134"/>
      <c r="AF4" s="134"/>
      <c r="AG4" s="134"/>
      <c r="AH4" s="134"/>
      <c r="AI4" s="134"/>
      <c r="AJ4" s="134"/>
      <c r="AK4" s="134"/>
      <c r="AL4" s="134"/>
      <c r="AM4" s="173"/>
      <c r="AN4" s="173"/>
      <c r="AO4" s="173"/>
      <c r="AP4" s="173"/>
      <c r="AQ4" s="173"/>
      <c r="AR4" s="173"/>
      <c r="AS4" s="173"/>
      <c r="AT4" s="173"/>
      <c r="AU4" s="173"/>
      <c r="BU4" s="154"/>
      <c r="BV4" s="154"/>
      <c r="BW4" s="147"/>
      <c r="BX4" s="147"/>
      <c r="BY4" s="147"/>
      <c r="BZ4" s="147"/>
      <c r="CA4" s="134"/>
      <c r="CB4" s="134"/>
      <c r="CC4" s="134"/>
      <c r="CD4" s="134"/>
      <c r="CE4" s="175"/>
      <c r="CF4" s="175"/>
      <c r="CG4" s="147"/>
      <c r="CH4" s="147"/>
      <c r="CI4" s="147"/>
      <c r="CJ4" s="134"/>
    </row>
    <row r="5" spans="1:88" ht="16.5" customHeight="1">
      <c r="A5" s="1139" t="s">
        <v>2</v>
      </c>
      <c r="B5" s="1072"/>
      <c r="C5" s="1087" t="str">
        <f>'Project Information'!B7</f>
        <v>ABC Company</v>
      </c>
      <c r="D5" s="1087"/>
      <c r="E5" s="1087"/>
      <c r="F5" s="1017" t="s">
        <v>8</v>
      </c>
      <c r="G5" s="1017"/>
      <c r="H5" s="1090" t="e">
        <f>VLOOKUP($C$7,'Project Information'!$A$19:$H$92,3,FALSE)</f>
        <v>#N/A</v>
      </c>
      <c r="I5" s="1090"/>
      <c r="J5" s="1090"/>
      <c r="K5" s="1090"/>
      <c r="L5" s="1090"/>
      <c r="M5" s="1090"/>
      <c r="N5" s="1092"/>
      <c r="R5" s="311"/>
      <c r="S5" s="312"/>
      <c r="T5" s="312"/>
      <c r="U5" s="312"/>
      <c r="V5" s="312"/>
      <c r="W5" s="345"/>
      <c r="Y5" s="173"/>
      <c r="AA5" s="138" t="s">
        <v>454</v>
      </c>
      <c r="AB5" s="176">
        <f>IF($H$21&gt;0,IF($H$10="3ST",1,IF($H$10="4ST",1,IF($H$22="Permissive",1,IF($H$22="Protected",0.94,0.99)))),1)</f>
        <v>1</v>
      </c>
      <c r="AC5" s="134"/>
      <c r="AD5" s="154"/>
      <c r="AE5" s="155"/>
      <c r="AF5" s="134"/>
      <c r="AG5" s="134"/>
      <c r="AH5" s="154"/>
      <c r="AI5" s="154"/>
      <c r="AJ5" s="154"/>
      <c r="AK5" s="134"/>
      <c r="AL5" s="134"/>
      <c r="AM5" s="173"/>
      <c r="AN5" s="173"/>
      <c r="AO5" s="173"/>
      <c r="AP5" s="173"/>
      <c r="AQ5" s="173"/>
      <c r="AR5" s="173"/>
      <c r="AS5" s="173"/>
      <c r="AT5" s="173"/>
      <c r="AU5" s="173"/>
      <c r="BU5" s="154"/>
      <c r="BV5" s="154"/>
      <c r="BW5" s="147"/>
      <c r="BX5" s="147"/>
      <c r="BY5" s="147"/>
      <c r="BZ5" s="147"/>
      <c r="CA5" s="147"/>
      <c r="CB5" s="147"/>
      <c r="CC5" s="134"/>
      <c r="CD5" s="134"/>
      <c r="CE5" s="175"/>
      <c r="CF5" s="175"/>
      <c r="CG5" s="147"/>
      <c r="CH5" s="147"/>
      <c r="CI5" s="147"/>
      <c r="CJ5" s="134"/>
    </row>
    <row r="6" spans="1:88" ht="16.5" customHeight="1">
      <c r="A6" s="1139" t="s">
        <v>3</v>
      </c>
      <c r="B6" s="1072"/>
      <c r="C6" s="1169">
        <f>'Project Information'!F5</f>
        <v>40675</v>
      </c>
      <c r="D6" s="1169"/>
      <c r="E6" s="1169"/>
      <c r="F6" s="1017" t="s">
        <v>11</v>
      </c>
      <c r="G6" s="1017"/>
      <c r="H6" s="1090" t="e">
        <f>VLOOKUP($C$7,'Project Information'!$A$19:$H$92,4,FALSE)</f>
        <v>#N/A</v>
      </c>
      <c r="I6" s="1090"/>
      <c r="J6" s="1090"/>
      <c r="K6" s="1090"/>
      <c r="L6" s="1090"/>
      <c r="M6" s="1090"/>
      <c r="N6" s="1092"/>
      <c r="R6" s="311"/>
      <c r="S6" s="312"/>
      <c r="T6" s="312"/>
      <c r="U6" s="312"/>
      <c r="V6" s="312"/>
      <c r="W6" s="345"/>
      <c r="Y6" s="173"/>
      <c r="AA6" s="138" t="s">
        <v>455</v>
      </c>
      <c r="AB6" s="176">
        <f>IF($H$21&gt;1,IF($H$10="3ST",1,IF($H$10="4ST",1,IF($H$23="Permissive",1,IF($H$23="Protected",0.94,0.99)))),1)</f>
        <v>1</v>
      </c>
      <c r="AD6" s="154"/>
      <c r="AE6" s="134"/>
      <c r="AF6" s="134"/>
      <c r="AG6" s="134"/>
      <c r="AH6" s="305"/>
      <c r="AI6" s="155"/>
      <c r="AJ6" s="150"/>
      <c r="AK6" s="134"/>
      <c r="AL6" s="134"/>
      <c r="AM6" s="173"/>
      <c r="AN6" s="173"/>
      <c r="AO6" s="173"/>
      <c r="AP6" s="173"/>
      <c r="AQ6" s="173"/>
      <c r="AR6" s="173"/>
      <c r="AS6" s="173"/>
      <c r="AT6" s="173"/>
      <c r="AU6" s="173"/>
      <c r="BU6" s="154"/>
      <c r="BV6" s="154"/>
      <c r="BW6" s="150"/>
      <c r="BX6" s="150"/>
      <c r="BY6" s="150"/>
      <c r="BZ6" s="150"/>
      <c r="CA6" s="150"/>
      <c r="CB6" s="150"/>
      <c r="CC6" s="134"/>
      <c r="CD6" s="134"/>
      <c r="CE6" s="133"/>
      <c r="CF6" s="133"/>
      <c r="CG6" s="150"/>
      <c r="CH6" s="150"/>
      <c r="CI6" s="150"/>
      <c r="CJ6" s="134"/>
    </row>
    <row r="7" spans="1:88" ht="16.5" customHeight="1">
      <c r="A7" s="1072" t="s">
        <v>622</v>
      </c>
      <c r="B7" s="1107"/>
      <c r="C7" s="1090" t="s">
        <v>103</v>
      </c>
      <c r="D7" s="1090"/>
      <c r="E7" s="1090"/>
      <c r="F7" s="1017" t="s">
        <v>12</v>
      </c>
      <c r="G7" s="1017"/>
      <c r="H7" s="1090">
        <f>'Project Information'!F6</f>
        <v>2011</v>
      </c>
      <c r="I7" s="1090"/>
      <c r="J7" s="1090"/>
      <c r="K7" s="1090"/>
      <c r="L7" s="1090"/>
      <c r="M7" s="1090"/>
      <c r="N7" s="1092"/>
      <c r="O7" s="134"/>
      <c r="P7" s="134"/>
      <c r="Q7" s="302"/>
      <c r="R7" s="311"/>
      <c r="S7" s="312"/>
      <c r="T7" s="312"/>
      <c r="U7" s="312"/>
      <c r="V7" s="312"/>
      <c r="W7" s="345"/>
      <c r="X7" s="302"/>
      <c r="Y7" s="134"/>
      <c r="AA7" s="138" t="s">
        <v>456</v>
      </c>
      <c r="AB7" s="176">
        <f>IF($H$24="Not Applicable",1,IF($H$10="3ST",1,IF($H$10="4ST",1,IF($H$24="Permissive",1,IF($H24="Protected",0.94,0.99)))))</f>
        <v>0.99</v>
      </c>
      <c r="AD7" s="154"/>
      <c r="AE7" s="134"/>
      <c r="AF7" s="134"/>
      <c r="AG7" s="134"/>
      <c r="AH7" s="154"/>
      <c r="AI7" s="154"/>
      <c r="AJ7" s="154"/>
      <c r="AK7" s="134"/>
      <c r="AL7" s="134"/>
      <c r="AM7" s="173"/>
      <c r="AN7" s="173"/>
      <c r="AO7" s="173"/>
      <c r="AP7" s="173"/>
      <c r="AQ7" s="173"/>
      <c r="AR7" s="173"/>
      <c r="AS7" s="173"/>
      <c r="AT7" s="173"/>
      <c r="AU7" s="173"/>
      <c r="BU7" s="154"/>
      <c r="BV7" s="154"/>
      <c r="BW7" s="150"/>
      <c r="BX7" s="150"/>
      <c r="BY7" s="150"/>
      <c r="BZ7" s="150"/>
      <c r="CA7" s="150"/>
      <c r="CB7" s="150"/>
      <c r="CC7" s="134"/>
      <c r="CD7" s="134"/>
      <c r="CE7" s="133"/>
      <c r="CF7" s="133"/>
      <c r="CG7" s="150"/>
      <c r="CH7" s="150"/>
      <c r="CI7" s="150"/>
      <c r="CJ7" s="134"/>
    </row>
    <row r="8" spans="1:88" ht="16.5" customHeight="1" thickBot="1">
      <c r="A8" s="1048" t="s">
        <v>625</v>
      </c>
      <c r="B8" s="1040"/>
      <c r="C8" s="1086" t="e">
        <f>VLOOKUP($C$7,'Project Information'!$A$19:$H$92,6,FALSE)</f>
        <v>#N/A</v>
      </c>
      <c r="D8" s="1086"/>
      <c r="E8" s="1086"/>
      <c r="F8" s="1040" t="e">
        <f>IF($C$8="Signalized","Ped Volume (after Intx Type)","")</f>
        <v>#N/A</v>
      </c>
      <c r="G8" s="1040"/>
      <c r="H8" s="1170"/>
      <c r="I8" s="1171"/>
      <c r="J8" s="1171"/>
      <c r="K8" s="1171"/>
      <c r="L8" s="1171"/>
      <c r="M8" s="1171"/>
      <c r="N8" s="1171"/>
      <c r="O8" s="1172" t="e">
        <f>IF(F8="Ped Volume (after Intx Type)","Select whether or not ped volume is known","")</f>
        <v>#N/A</v>
      </c>
      <c r="P8" s="1172"/>
      <c r="Q8" s="1172"/>
      <c r="R8" s="311"/>
      <c r="S8" s="312"/>
      <c r="T8" s="312"/>
      <c r="U8" s="312"/>
      <c r="V8" s="312"/>
      <c r="W8" s="345"/>
      <c r="X8" s="302"/>
      <c r="Y8" s="302"/>
      <c r="AB8" s="176"/>
      <c r="AD8" s="154"/>
      <c r="AE8" s="134"/>
      <c r="AF8" s="134"/>
      <c r="AG8" s="134"/>
      <c r="AH8" s="154"/>
      <c r="AI8" s="154"/>
      <c r="AJ8" s="154"/>
      <c r="AK8" s="134"/>
      <c r="AL8" s="134"/>
      <c r="AM8" s="173"/>
      <c r="AN8" s="173"/>
      <c r="AO8" s="173"/>
      <c r="AP8" s="173"/>
      <c r="AQ8" s="173"/>
      <c r="AR8" s="173"/>
      <c r="AS8" s="173"/>
      <c r="AT8" s="173"/>
      <c r="AU8" s="173"/>
      <c r="BU8" s="154"/>
      <c r="BV8" s="154"/>
      <c r="BW8" s="150"/>
      <c r="BX8" s="150"/>
      <c r="BY8" s="150"/>
      <c r="BZ8" s="150"/>
      <c r="CA8" s="150"/>
      <c r="CB8" s="150"/>
      <c r="CC8" s="134"/>
      <c r="CD8" s="134"/>
      <c r="CE8" s="133"/>
      <c r="CF8" s="133"/>
      <c r="CG8" s="150"/>
      <c r="CH8" s="150"/>
      <c r="CI8" s="150"/>
      <c r="CJ8" s="134"/>
    </row>
    <row r="9" spans="1:38" ht="16.5" customHeight="1">
      <c r="A9" s="1080" t="s">
        <v>4</v>
      </c>
      <c r="B9" s="1121"/>
      <c r="C9" s="1121"/>
      <c r="D9" s="1121"/>
      <c r="E9" s="1121"/>
      <c r="F9" s="1121"/>
      <c r="G9" s="1122"/>
      <c r="H9" s="1095" t="s">
        <v>15</v>
      </c>
      <c r="I9" s="1098"/>
      <c r="J9" s="1098"/>
      <c r="K9" s="1130"/>
      <c r="L9" s="1098" t="s">
        <v>13</v>
      </c>
      <c r="M9" s="1098"/>
      <c r="N9" s="1098"/>
      <c r="O9" s="138"/>
      <c r="P9" s="138"/>
      <c r="Q9" s="138"/>
      <c r="R9" s="311"/>
      <c r="S9" s="312"/>
      <c r="T9" s="312"/>
      <c r="U9" s="312"/>
      <c r="V9" s="312"/>
      <c r="W9" s="345"/>
      <c r="X9" s="138"/>
      <c r="AA9" s="138" t="s">
        <v>352</v>
      </c>
      <c r="AB9" s="176">
        <f>IF($H$25="Not Applicable",1,IF($H$10="3SG",1,IF($H$10="3ST",1,IF($H$10="4ST",1,IF($H$25="Permissive",1,IF($H$25="Protected",0.94,0.99))))))</f>
        <v>0.99</v>
      </c>
      <c r="AD9" s="154"/>
      <c r="AE9" s="154"/>
      <c r="AF9" s="154"/>
      <c r="AG9" s="154"/>
      <c r="AH9" s="154"/>
      <c r="AI9" s="154"/>
      <c r="AJ9" s="154"/>
      <c r="AK9" s="154"/>
      <c r="AL9" s="154"/>
    </row>
    <row r="10" spans="1:38" ht="16.5" customHeight="1" thickBot="1">
      <c r="A10" s="1096" t="s">
        <v>258</v>
      </c>
      <c r="B10" s="1096"/>
      <c r="C10" s="1096"/>
      <c r="D10" s="1096"/>
      <c r="E10" s="1096"/>
      <c r="F10" s="1096"/>
      <c r="G10" s="995"/>
      <c r="H10" s="1118"/>
      <c r="I10" s="1119"/>
      <c r="J10" s="1119"/>
      <c r="K10" s="1120"/>
      <c r="L10" s="1100" t="s">
        <v>14</v>
      </c>
      <c r="M10" s="1100"/>
      <c r="N10" s="1100"/>
      <c r="O10" s="138" t="str">
        <f>IF($H$10="3ST","Unsignalized three-leg intersection (stop control on minor-road approaches)",IF($H$10="3SG","Signalized three-leg intersections",IF($H$10="4ST","Unsignalized four-leg intersection (stop control on minor-road approaches)","Signalized four-leg intersections")))</f>
        <v>Signalized four-leg intersections</v>
      </c>
      <c r="P10" s="138"/>
      <c r="Q10" s="138"/>
      <c r="R10" s="311"/>
      <c r="S10" s="312"/>
      <c r="T10" s="312"/>
      <c r="U10" s="312"/>
      <c r="V10" s="312"/>
      <c r="W10" s="345"/>
      <c r="X10" s="138"/>
      <c r="AA10" s="138" t="s">
        <v>353</v>
      </c>
      <c r="AB10" s="176">
        <f>AB5*AB6*AB7*AB9</f>
        <v>0.9801</v>
      </c>
      <c r="AD10" s="154"/>
      <c r="AE10" s="154"/>
      <c r="AF10" s="154"/>
      <c r="AG10" s="154"/>
      <c r="AH10" s="154"/>
      <c r="AI10" s="154"/>
      <c r="AJ10" s="154"/>
      <c r="AK10" s="154"/>
      <c r="AL10" s="154"/>
    </row>
    <row r="11" spans="1:38" ht="16.5" customHeight="1" thickBot="1">
      <c r="A11" s="1096" t="s">
        <v>551</v>
      </c>
      <c r="B11" s="1096"/>
      <c r="C11" s="1096"/>
      <c r="D11" s="1123"/>
      <c r="E11" s="177" t="s">
        <v>508</v>
      </c>
      <c r="F11" s="178">
        <f>IF($H$10="3ST",45700,IF($H$10="4ST",46800,IF($H$10="3SG",58100,67700)))</f>
        <v>67700</v>
      </c>
      <c r="G11" s="179" t="s">
        <v>411</v>
      </c>
      <c r="H11" s="1124"/>
      <c r="I11" s="1125"/>
      <c r="J11" s="1125"/>
      <c r="K11" s="1126"/>
      <c r="L11" s="1100" t="s">
        <v>14</v>
      </c>
      <c r="M11" s="1100"/>
      <c r="N11" s="1100"/>
      <c r="O11" s="180" t="str">
        <f>IF(H11&gt;F11,"AADT out of range","AADT OK")</f>
        <v>AADT OK</v>
      </c>
      <c r="P11" s="138"/>
      <c r="Q11" s="138"/>
      <c r="R11" s="311"/>
      <c r="S11" s="312"/>
      <c r="T11" s="312"/>
      <c r="U11" s="312"/>
      <c r="V11" s="312"/>
      <c r="W11" s="345"/>
      <c r="X11" s="138"/>
      <c r="AD11" s="154"/>
      <c r="AE11" s="154"/>
      <c r="AF11" s="154"/>
      <c r="AG11" s="154"/>
      <c r="AH11" s="154"/>
      <c r="AI11" s="154"/>
      <c r="AJ11" s="154"/>
      <c r="AK11" s="154"/>
      <c r="AL11" s="154"/>
    </row>
    <row r="12" spans="1:38" ht="16.5" customHeight="1" thickBot="1">
      <c r="A12" s="1096" t="s">
        <v>626</v>
      </c>
      <c r="B12" s="1096"/>
      <c r="C12" s="1096"/>
      <c r="D12" s="1123"/>
      <c r="E12" s="177" t="s">
        <v>508</v>
      </c>
      <c r="F12" s="178">
        <f>IF($H$10="3ST",9300,IF($H$10="4ST",5900,IF($H$10="3SG",16400,33400)))</f>
        <v>33400</v>
      </c>
      <c r="G12" s="179" t="s">
        <v>411</v>
      </c>
      <c r="H12" s="1124"/>
      <c r="I12" s="1125"/>
      <c r="J12" s="1125"/>
      <c r="K12" s="1126"/>
      <c r="L12" s="1100" t="s">
        <v>14</v>
      </c>
      <c r="M12" s="1100"/>
      <c r="N12" s="1100"/>
      <c r="O12" s="180" t="str">
        <f>IF(H12&gt;F12,"AADT out of range","AADT OK")</f>
        <v>AADT OK</v>
      </c>
      <c r="P12" s="138"/>
      <c r="Q12" s="138"/>
      <c r="R12" s="311"/>
      <c r="S12" s="312"/>
      <c r="T12" s="312"/>
      <c r="U12" s="312"/>
      <c r="V12" s="312"/>
      <c r="W12" s="345"/>
      <c r="X12" s="138"/>
      <c r="AG12" s="154"/>
      <c r="AH12" s="154"/>
      <c r="AI12" s="154"/>
      <c r="AJ12" s="154"/>
      <c r="AK12" s="154"/>
      <c r="AL12" s="154"/>
    </row>
    <row r="13" spans="1:38" ht="16.5" customHeight="1">
      <c r="A13" s="1096" t="s">
        <v>67</v>
      </c>
      <c r="B13" s="1096"/>
      <c r="C13" s="1096"/>
      <c r="D13" s="1096"/>
      <c r="E13" s="1096"/>
      <c r="F13" s="1096"/>
      <c r="G13" s="995"/>
      <c r="H13" s="1118" t="s">
        <v>54</v>
      </c>
      <c r="I13" s="1119"/>
      <c r="J13" s="1119"/>
      <c r="K13" s="1120"/>
      <c r="L13" s="1099" t="s">
        <v>54</v>
      </c>
      <c r="M13" s="1099"/>
      <c r="N13" s="1099"/>
      <c r="O13" s="138"/>
      <c r="P13" s="138"/>
      <c r="Q13" s="138"/>
      <c r="R13" s="311"/>
      <c r="S13" s="312"/>
      <c r="T13" s="312"/>
      <c r="U13" s="312"/>
      <c r="V13" s="312"/>
      <c r="W13" s="345"/>
      <c r="X13" s="138"/>
      <c r="AG13" s="154"/>
      <c r="AH13" s="154"/>
      <c r="AI13" s="154"/>
      <c r="AJ13" s="154"/>
      <c r="AK13" s="154"/>
      <c r="AL13" s="154"/>
    </row>
    <row r="14" spans="1:27" ht="16.5" customHeight="1">
      <c r="A14" s="1096" t="s">
        <v>552</v>
      </c>
      <c r="B14" s="1096"/>
      <c r="C14" s="1096"/>
      <c r="D14" s="1096"/>
      <c r="E14" s="1096"/>
      <c r="F14" s="1096"/>
      <c r="G14" s="995"/>
      <c r="H14" s="1127">
        <v>1</v>
      </c>
      <c r="I14" s="1128"/>
      <c r="J14" s="1128"/>
      <c r="K14" s="1129"/>
      <c r="L14" s="1103">
        <v>1</v>
      </c>
      <c r="M14" s="1103"/>
      <c r="N14" s="1103"/>
      <c r="O14" s="138"/>
      <c r="P14" s="138"/>
      <c r="Q14" s="138"/>
      <c r="R14" s="311"/>
      <c r="S14" s="312"/>
      <c r="T14" s="312"/>
      <c r="U14" s="312"/>
      <c r="V14" s="312"/>
      <c r="W14" s="345"/>
      <c r="X14" s="138"/>
      <c r="AA14" s="174" t="s">
        <v>553</v>
      </c>
    </row>
    <row r="15" spans="1:24" ht="16.5" customHeight="1">
      <c r="A15" s="1106" t="s">
        <v>259</v>
      </c>
      <c r="B15" s="1106"/>
      <c r="C15" s="1106"/>
      <c r="D15" s="1106"/>
      <c r="E15" s="1106"/>
      <c r="F15" s="1106"/>
      <c r="G15" s="1106"/>
      <c r="H15" s="1106"/>
      <c r="I15" s="1106"/>
      <c r="J15" s="1106"/>
      <c r="K15" s="1106"/>
      <c r="L15" s="1106"/>
      <c r="M15" s="1106"/>
      <c r="N15" s="1106"/>
      <c r="O15" s="138"/>
      <c r="P15" s="138"/>
      <c r="Q15" s="138"/>
      <c r="R15" s="311"/>
      <c r="S15" s="312"/>
      <c r="T15" s="312"/>
      <c r="U15" s="312"/>
      <c r="V15" s="312"/>
      <c r="W15" s="345"/>
      <c r="X15" s="138"/>
    </row>
    <row r="16" spans="1:30" ht="16.5" customHeight="1">
      <c r="A16" s="1096" t="s">
        <v>606</v>
      </c>
      <c r="B16" s="1096"/>
      <c r="C16" s="1096"/>
      <c r="D16" s="1096"/>
      <c r="E16" s="1096"/>
      <c r="F16" s="1096"/>
      <c r="G16" s="995"/>
      <c r="H16" s="1118">
        <v>0</v>
      </c>
      <c r="I16" s="1119"/>
      <c r="J16" s="1119"/>
      <c r="K16" s="1120"/>
      <c r="L16" s="1100">
        <v>0</v>
      </c>
      <c r="M16" s="1100"/>
      <c r="N16" s="1100"/>
      <c r="O16" s="138"/>
      <c r="P16" s="138"/>
      <c r="Q16" s="138"/>
      <c r="R16" s="311"/>
      <c r="S16" s="312"/>
      <c r="T16" s="312"/>
      <c r="U16" s="312"/>
      <c r="V16" s="312"/>
      <c r="W16" s="345"/>
      <c r="X16" s="138"/>
      <c r="AA16" s="181" t="s">
        <v>554</v>
      </c>
      <c r="AB16" s="182">
        <f>IF('Intersection Tables'!$C$33="No",(IF($J$10="3ST",'Intersection Tables'!$D$39,IF($J$10="3SG",'Intersection Tables'!$F$39,IF($J$10="4ST",'Intersection Tables'!$H$39,'Intersection Tables'!$J$39)))),(IF($J$10="3ST",'Intersection Tables'!$D$48,IF($J$10="3SG",'Intersection Tables'!$F$48,IF($J$10="4ST",'Intersection Tables'!$H$48,'Intersection Tables'!$J$48)))))</f>
        <v>0.347</v>
      </c>
      <c r="AC16" s="181" t="s">
        <v>555</v>
      </c>
      <c r="AD16" s="182">
        <f>IF('Intersection Tables'!$C$33="No",(IF($J$10="3ST",'Intersection Tables'!$D$37,IF($J$10="3SG",'Intersection Tables'!$F$37,IF($J$10="4ST",'Intersection Tables'!$H$37,'Intersection Tables'!$J$37)))),(IF($J$10="3ST",'Intersection Tables'!$D$46,IF($J$10="3SG",'Intersection Tables'!$F$46,IF($J$10="4ST",'Intersection Tables'!$H$46,'Intersection Tables'!$J$46)))))</f>
        <v>0.45</v>
      </c>
    </row>
    <row r="17" spans="1:30" ht="16.5" customHeight="1">
      <c r="A17" s="1096" t="s">
        <v>607</v>
      </c>
      <c r="B17" s="1096"/>
      <c r="C17" s="1096"/>
      <c r="D17" s="1096"/>
      <c r="E17" s="1096"/>
      <c r="F17" s="1096"/>
      <c r="G17" s="995"/>
      <c r="H17" s="1118">
        <v>0</v>
      </c>
      <c r="I17" s="1119"/>
      <c r="J17" s="1119"/>
      <c r="K17" s="1120"/>
      <c r="L17" s="1100">
        <v>0</v>
      </c>
      <c r="M17" s="1100"/>
      <c r="N17" s="1100"/>
      <c r="O17" s="138"/>
      <c r="P17" s="138"/>
      <c r="Q17" s="138"/>
      <c r="R17" s="311"/>
      <c r="S17" s="312"/>
      <c r="T17" s="312"/>
      <c r="U17" s="312"/>
      <c r="V17" s="312"/>
      <c r="W17" s="345"/>
      <c r="X17" s="138"/>
      <c r="AA17" s="181" t="s">
        <v>556</v>
      </c>
      <c r="AB17" s="182">
        <f>IF('Intersection Tables'!$C$33="No",(IF($J$10="3ST",'Intersection Tables'!$E$39,IF($J$10="3SG",'Intersection Tables'!$G$39,IF($J$10="4ST",'Intersection Tables'!$I$39,'Intersection Tables'!$K$39)))),(IF($J$10="3ST",'Intersection Tables'!$E$48,IF($J$10="3SG",'Intersection Tables'!$G$48,IF($J$10="4ST",'Intersection Tables'!$I$48,'Intersection Tables'!$K$48)))))</f>
        <v>0.244</v>
      </c>
      <c r="AC17" s="181" t="s">
        <v>557</v>
      </c>
      <c r="AD17" s="182">
        <f>IF('Intersection Tables'!$C$33="No",(IF($J$10="3ST",'Intersection Tables'!$E$37,IF($J$10="3SG",'Intersection Tables'!$G$37,IF($J$10="4ST",'Intersection Tables'!$I$37,'Intersection Tables'!$K$37)))),(IF($J$10="3ST",'Intersection Tables'!$E$46,IF($J$10="3SG",'Intersection Tables'!$G$46,IF($J$10="4ST",'Intersection Tables'!$I$46,'Intersection Tables'!$K$46)))))</f>
        <v>0.483</v>
      </c>
    </row>
    <row r="18" spans="1:30" ht="16.5" customHeight="1">
      <c r="A18" s="1106" t="s">
        <v>348</v>
      </c>
      <c r="B18" s="1106"/>
      <c r="C18" s="1106"/>
      <c r="D18" s="1106"/>
      <c r="E18" s="1106"/>
      <c r="F18" s="1106"/>
      <c r="G18" s="1106"/>
      <c r="H18" s="1106"/>
      <c r="I18" s="1106"/>
      <c r="J18" s="1106"/>
      <c r="K18" s="1106"/>
      <c r="L18" s="1106"/>
      <c r="M18" s="1106"/>
      <c r="N18" s="1106"/>
      <c r="O18" s="138"/>
      <c r="P18" s="138"/>
      <c r="Q18" s="138"/>
      <c r="R18" s="311"/>
      <c r="S18" s="312"/>
      <c r="T18" s="312"/>
      <c r="U18" s="312"/>
      <c r="V18" s="312"/>
      <c r="W18" s="345"/>
      <c r="X18" s="138"/>
      <c r="AA18" s="181" t="s">
        <v>558</v>
      </c>
      <c r="AB18" s="182" t="e">
        <f>+$K$59</f>
        <v>#N/A</v>
      </c>
      <c r="AC18" s="181" t="s">
        <v>558</v>
      </c>
      <c r="AD18" s="182" t="e">
        <f>+$K$59</f>
        <v>#N/A</v>
      </c>
    </row>
    <row r="19" spans="1:30" ht="16.5" customHeight="1">
      <c r="A19" s="1096" t="s">
        <v>608</v>
      </c>
      <c r="B19" s="1096"/>
      <c r="C19" s="1096"/>
      <c r="D19" s="1096"/>
      <c r="E19" s="1096"/>
      <c r="F19" s="1096"/>
      <c r="G19" s="995"/>
      <c r="H19" s="1118">
        <v>0</v>
      </c>
      <c r="I19" s="1119"/>
      <c r="J19" s="1119"/>
      <c r="K19" s="1120"/>
      <c r="L19" s="1100">
        <v>0</v>
      </c>
      <c r="M19" s="1100"/>
      <c r="N19" s="1100"/>
      <c r="O19" s="138"/>
      <c r="P19" s="138"/>
      <c r="Q19" s="138"/>
      <c r="R19" s="311"/>
      <c r="S19" s="312"/>
      <c r="T19" s="312"/>
      <c r="U19" s="312"/>
      <c r="V19" s="312"/>
      <c r="W19" s="345"/>
      <c r="X19" s="138"/>
      <c r="AA19" s="181" t="s">
        <v>559</v>
      </c>
      <c r="AB19" s="182" t="e">
        <f>+$K$61</f>
        <v>#N/A</v>
      </c>
      <c r="AC19" s="181" t="s">
        <v>559</v>
      </c>
      <c r="AD19" s="182" t="e">
        <f>+$K$61</f>
        <v>#N/A</v>
      </c>
    </row>
    <row r="20" spans="1:30" ht="16.5" customHeight="1">
      <c r="A20" s="1096" t="s">
        <v>609</v>
      </c>
      <c r="B20" s="1096"/>
      <c r="C20" s="1096"/>
      <c r="D20" s="1096"/>
      <c r="E20" s="1096"/>
      <c r="F20" s="1096"/>
      <c r="G20" s="995"/>
      <c r="H20" s="1118">
        <v>0</v>
      </c>
      <c r="I20" s="1119"/>
      <c r="J20" s="1119"/>
      <c r="K20" s="1120"/>
      <c r="L20" s="1100">
        <v>0</v>
      </c>
      <c r="M20" s="1100"/>
      <c r="N20" s="1100"/>
      <c r="O20" s="138"/>
      <c r="P20" s="138"/>
      <c r="Q20" s="138"/>
      <c r="R20" s="311"/>
      <c r="S20" s="312"/>
      <c r="T20" s="312"/>
      <c r="U20" s="312"/>
      <c r="V20" s="312"/>
      <c r="W20" s="345"/>
      <c r="X20" s="138"/>
      <c r="AA20" s="181" t="s">
        <v>560</v>
      </c>
      <c r="AB20" s="182" t="e">
        <f>+$H$90</f>
        <v>#N/A</v>
      </c>
      <c r="AC20" s="181" t="s">
        <v>560</v>
      </c>
      <c r="AD20" s="182" t="e">
        <f>+$H$90</f>
        <v>#N/A</v>
      </c>
    </row>
    <row r="21" spans="1:30" ht="16.5" customHeight="1">
      <c r="A21" s="1096" t="s">
        <v>610</v>
      </c>
      <c r="B21" s="1096"/>
      <c r="C21" s="1096"/>
      <c r="D21" s="1096"/>
      <c r="E21" s="1096"/>
      <c r="F21" s="1096"/>
      <c r="G21" s="995"/>
      <c r="H21" s="1118">
        <v>0</v>
      </c>
      <c r="I21" s="1119"/>
      <c r="J21" s="1119"/>
      <c r="K21" s="1120"/>
      <c r="L21" s="1100" t="s">
        <v>14</v>
      </c>
      <c r="M21" s="1100"/>
      <c r="N21" s="1100"/>
      <c r="O21" s="138"/>
      <c r="P21" s="138"/>
      <c r="Q21" s="138"/>
      <c r="R21" s="311"/>
      <c r="S21" s="312"/>
      <c r="T21" s="312"/>
      <c r="U21" s="312"/>
      <c r="V21" s="312"/>
      <c r="W21" s="345"/>
      <c r="X21" s="138"/>
      <c r="AA21" s="181" t="s">
        <v>561</v>
      </c>
      <c r="AB21" s="182" t="e">
        <f>((+AB16*AB18)+(+AB17*AB19))/(+AB18+AB19+AB20)</f>
        <v>#N/A</v>
      </c>
      <c r="AC21" s="181" t="s">
        <v>562</v>
      </c>
      <c r="AD21" s="182" t="e">
        <f>((+AD16*AD18)+(+AD17*AD19))/(+AD18+AD19+AD20)</f>
        <v>#N/A</v>
      </c>
    </row>
    <row r="22" spans="1:24" ht="16.5" customHeight="1">
      <c r="A22" s="1139" t="s">
        <v>611</v>
      </c>
      <c r="B22" s="1096"/>
      <c r="C22" s="1096"/>
      <c r="D22" s="1096"/>
      <c r="E22" s="1096"/>
      <c r="F22" s="1096"/>
      <c r="G22" s="995"/>
      <c r="H22" s="1118" t="s">
        <v>260</v>
      </c>
      <c r="I22" s="1119"/>
      <c r="J22" s="1119"/>
      <c r="K22" s="1120"/>
      <c r="L22" s="1099" t="s">
        <v>260</v>
      </c>
      <c r="M22" s="1099"/>
      <c r="N22" s="1099"/>
      <c r="O22" s="138"/>
      <c r="P22" s="138"/>
      <c r="Q22" s="138"/>
      <c r="R22" s="311"/>
      <c r="S22" s="312"/>
      <c r="T22" s="312"/>
      <c r="U22" s="312"/>
      <c r="V22" s="312"/>
      <c r="W22" s="345"/>
      <c r="X22" s="138"/>
    </row>
    <row r="23" spans="1:28" ht="16.5" customHeight="1">
      <c r="A23" s="1139" t="s">
        <v>612</v>
      </c>
      <c r="B23" s="1096"/>
      <c r="C23" s="1096"/>
      <c r="D23" s="1096"/>
      <c r="E23" s="1096"/>
      <c r="F23" s="1096"/>
      <c r="G23" s="995"/>
      <c r="H23" s="1118"/>
      <c r="I23" s="1119"/>
      <c r="J23" s="1119"/>
      <c r="K23" s="1120"/>
      <c r="L23" s="1100" t="s">
        <v>14</v>
      </c>
      <c r="M23" s="1100"/>
      <c r="N23" s="1100"/>
      <c r="O23" s="138"/>
      <c r="P23" s="138"/>
      <c r="Q23" s="138"/>
      <c r="R23" s="311"/>
      <c r="S23" s="312"/>
      <c r="T23" s="312"/>
      <c r="U23" s="312"/>
      <c r="V23" s="312"/>
      <c r="W23" s="345"/>
      <c r="X23" s="138"/>
      <c r="AA23" s="181" t="s">
        <v>563</v>
      </c>
      <c r="AB23" s="355" t="e">
        <f>1-(AB21*(1-0.74))-(AD21*(1-1.18))</f>
        <v>#N/A</v>
      </c>
    </row>
    <row r="24" spans="1:31" ht="16.5" customHeight="1">
      <c r="A24" s="1139" t="s">
        <v>613</v>
      </c>
      <c r="B24" s="1096"/>
      <c r="C24" s="1096"/>
      <c r="D24" s="1096"/>
      <c r="E24" s="1096"/>
      <c r="F24" s="1096"/>
      <c r="G24" s="995"/>
      <c r="H24" s="1118"/>
      <c r="I24" s="1119"/>
      <c r="J24" s="1119"/>
      <c r="K24" s="1120"/>
      <c r="L24" s="1100" t="s">
        <v>14</v>
      </c>
      <c r="M24" s="1100"/>
      <c r="N24" s="1100"/>
      <c r="O24" s="138"/>
      <c r="P24" s="138"/>
      <c r="Q24" s="138"/>
      <c r="R24" s="311"/>
      <c r="S24" s="312"/>
      <c r="T24" s="312"/>
      <c r="U24" s="312"/>
      <c r="V24" s="312"/>
      <c r="W24" s="345"/>
      <c r="X24" s="138"/>
      <c r="AA24" s="138">
        <v>1</v>
      </c>
      <c r="AC24" s="138">
        <v>1</v>
      </c>
      <c r="AD24" s="138" t="s">
        <v>691</v>
      </c>
      <c r="AE24" s="356">
        <v>1</v>
      </c>
    </row>
    <row r="25" spans="1:24" ht="16.5" customHeight="1">
      <c r="A25" s="1139" t="s">
        <v>614</v>
      </c>
      <c r="B25" s="1096"/>
      <c r="C25" s="1096"/>
      <c r="D25" s="1096"/>
      <c r="E25" s="1096"/>
      <c r="F25" s="1096"/>
      <c r="G25" s="995"/>
      <c r="H25" s="1118"/>
      <c r="I25" s="1119"/>
      <c r="J25" s="1119"/>
      <c r="K25" s="1120"/>
      <c r="L25" s="1100" t="s">
        <v>14</v>
      </c>
      <c r="M25" s="1100"/>
      <c r="N25" s="1100"/>
      <c r="O25" s="138"/>
      <c r="P25" s="138"/>
      <c r="Q25" s="138"/>
      <c r="R25" s="311"/>
      <c r="S25" s="312"/>
      <c r="T25" s="312"/>
      <c r="U25" s="312"/>
      <c r="V25" s="312"/>
      <c r="W25" s="345"/>
      <c r="X25" s="138"/>
    </row>
    <row r="26" spans="1:34" ht="16.5" customHeight="1">
      <c r="A26" s="1139" t="s">
        <v>615</v>
      </c>
      <c r="B26" s="1096"/>
      <c r="C26" s="1096"/>
      <c r="D26" s="1096"/>
      <c r="E26" s="1096"/>
      <c r="F26" s="1096"/>
      <c r="G26" s="995"/>
      <c r="H26" s="1118">
        <v>0</v>
      </c>
      <c r="I26" s="1119"/>
      <c r="J26" s="1119"/>
      <c r="K26" s="1120"/>
      <c r="L26" s="1100">
        <v>0</v>
      </c>
      <c r="M26" s="1100"/>
      <c r="N26" s="1100"/>
      <c r="O26" s="138"/>
      <c r="P26" s="138"/>
      <c r="Q26" s="138"/>
      <c r="R26" s="311"/>
      <c r="S26" s="312"/>
      <c r="T26" s="312"/>
      <c r="U26" s="312"/>
      <c r="V26" s="312"/>
      <c r="W26" s="345"/>
      <c r="X26" s="138"/>
      <c r="AD26" s="138">
        <v>1</v>
      </c>
      <c r="AE26" s="138" t="str">
        <f>""</f>
        <v/>
      </c>
      <c r="AG26" s="138" t="s">
        <v>312</v>
      </c>
      <c r="AH26" s="138" t="s">
        <v>71</v>
      </c>
    </row>
    <row r="27" spans="1:33" ht="16.5" customHeight="1">
      <c r="A27" s="1096" t="s">
        <v>616</v>
      </c>
      <c r="B27" s="1096"/>
      <c r="C27" s="1096"/>
      <c r="D27" s="1096"/>
      <c r="E27" s="1096"/>
      <c r="F27" s="1096"/>
      <c r="G27" s="995"/>
      <c r="H27" s="1118" t="s">
        <v>54</v>
      </c>
      <c r="I27" s="1119"/>
      <c r="J27" s="1119"/>
      <c r="K27" s="1120"/>
      <c r="L27" s="1099" t="s">
        <v>54</v>
      </c>
      <c r="M27" s="1099"/>
      <c r="N27" s="1099"/>
      <c r="O27" s="138"/>
      <c r="P27" s="138"/>
      <c r="Q27" s="138"/>
      <c r="R27" s="311"/>
      <c r="S27" s="312"/>
      <c r="T27" s="312"/>
      <c r="U27" s="312"/>
      <c r="V27" s="312"/>
      <c r="W27" s="345"/>
      <c r="X27" s="138"/>
      <c r="AB27" s="138">
        <v>0</v>
      </c>
      <c r="AC27" s="138" t="s">
        <v>351</v>
      </c>
      <c r="AD27" s="138">
        <v>2</v>
      </c>
      <c r="AE27" s="138" t="s">
        <v>681</v>
      </c>
      <c r="AG27" s="138">
        <v>1700</v>
      </c>
    </row>
    <row r="28" spans="1:33" ht="16.5" customHeight="1">
      <c r="A28" s="1096" t="s">
        <v>617</v>
      </c>
      <c r="B28" s="1096"/>
      <c r="C28" s="1096"/>
      <c r="D28" s="1096"/>
      <c r="E28" s="1096"/>
      <c r="F28" s="1096"/>
      <c r="G28" s="1096"/>
      <c r="H28" s="1138"/>
      <c r="I28" s="1125"/>
      <c r="J28" s="1125"/>
      <c r="K28" s="1126"/>
      <c r="L28" s="1101" t="s">
        <v>14</v>
      </c>
      <c r="M28" s="1102"/>
      <c r="N28" s="1102"/>
      <c r="O28" s="138"/>
      <c r="P28" s="138"/>
      <c r="Q28" s="138"/>
      <c r="R28" s="311"/>
      <c r="S28" s="312"/>
      <c r="T28" s="312"/>
      <c r="U28" s="312"/>
      <c r="V28" s="312"/>
      <c r="W28" s="345"/>
      <c r="X28" s="138"/>
      <c r="AB28" s="138">
        <v>1</v>
      </c>
      <c r="AC28" s="138" t="s">
        <v>260</v>
      </c>
      <c r="AD28" s="138">
        <v>3</v>
      </c>
      <c r="AE28" s="138" t="s">
        <v>682</v>
      </c>
      <c r="AG28" s="138">
        <v>750</v>
      </c>
    </row>
    <row r="29" spans="1:38" ht="16.5" customHeight="1">
      <c r="A29" s="1096" t="s">
        <v>618</v>
      </c>
      <c r="B29" s="1096"/>
      <c r="C29" s="1096"/>
      <c r="D29" s="1096"/>
      <c r="E29" s="1096"/>
      <c r="F29" s="1096"/>
      <c r="G29" s="995"/>
      <c r="H29" s="1135"/>
      <c r="I29" s="1136"/>
      <c r="J29" s="1136"/>
      <c r="K29" s="1137"/>
      <c r="L29" s="1100" t="s">
        <v>14</v>
      </c>
      <c r="M29" s="1100"/>
      <c r="N29" s="1100"/>
      <c r="O29" s="138"/>
      <c r="P29" s="138"/>
      <c r="Q29" s="138"/>
      <c r="R29" s="311"/>
      <c r="S29" s="312"/>
      <c r="T29" s="312"/>
      <c r="U29" s="312"/>
      <c r="V29" s="312"/>
      <c r="W29" s="345"/>
      <c r="X29" s="138"/>
      <c r="AB29" s="138">
        <v>2</v>
      </c>
      <c r="AC29" s="138" t="s">
        <v>345</v>
      </c>
      <c r="AG29" s="138">
        <v>400</v>
      </c>
      <c r="AL29" s="138" t="s">
        <v>712</v>
      </c>
    </row>
    <row r="30" spans="1:38" ht="16.5" customHeight="1">
      <c r="A30" s="1096" t="s">
        <v>619</v>
      </c>
      <c r="B30" s="1096"/>
      <c r="C30" s="1096"/>
      <c r="D30" s="1096"/>
      <c r="E30" s="1096"/>
      <c r="F30" s="1096"/>
      <c r="G30" s="995"/>
      <c r="H30" s="1118">
        <v>0</v>
      </c>
      <c r="I30" s="1119"/>
      <c r="J30" s="1119"/>
      <c r="K30" s="1120"/>
      <c r="L30" s="1099">
        <v>0</v>
      </c>
      <c r="M30" s="1099"/>
      <c r="N30" s="1099"/>
      <c r="O30" s="138"/>
      <c r="P30" s="138"/>
      <c r="Q30" s="138"/>
      <c r="R30" s="311"/>
      <c r="S30" s="312"/>
      <c r="T30" s="312"/>
      <c r="U30" s="312"/>
      <c r="V30" s="312"/>
      <c r="W30" s="345"/>
      <c r="X30" s="138"/>
      <c r="AB30" s="138">
        <v>3</v>
      </c>
      <c r="AC30" s="138" t="s">
        <v>659</v>
      </c>
      <c r="AG30" s="138">
        <v>120</v>
      </c>
      <c r="AL30" s="356"/>
    </row>
    <row r="31" spans="1:38" ht="16.5" customHeight="1">
      <c r="A31" s="1096" t="s">
        <v>620</v>
      </c>
      <c r="B31" s="1096"/>
      <c r="C31" s="1096"/>
      <c r="D31" s="1096"/>
      <c r="E31" s="1096"/>
      <c r="F31" s="1096"/>
      <c r="G31" s="995"/>
      <c r="H31" s="1118" t="s">
        <v>54</v>
      </c>
      <c r="I31" s="1119"/>
      <c r="J31" s="1119"/>
      <c r="K31" s="1120"/>
      <c r="L31" s="1099" t="s">
        <v>54</v>
      </c>
      <c r="M31" s="1099"/>
      <c r="N31" s="1099"/>
      <c r="O31" s="138"/>
      <c r="P31" s="138"/>
      <c r="Q31" s="138"/>
      <c r="R31" s="311"/>
      <c r="S31" s="312"/>
      <c r="T31" s="312"/>
      <c r="U31" s="312"/>
      <c r="V31" s="312"/>
      <c r="W31" s="345"/>
      <c r="X31" s="138"/>
      <c r="AB31" s="138">
        <v>4</v>
      </c>
      <c r="AC31" s="138" t="s">
        <v>660</v>
      </c>
      <c r="AG31" s="138">
        <v>20</v>
      </c>
      <c r="AL31" s="356"/>
    </row>
    <row r="32" spans="1:33" ht="16.5" customHeight="1" thickBot="1">
      <c r="A32" s="1173" t="s">
        <v>621</v>
      </c>
      <c r="B32" s="1173"/>
      <c r="C32" s="1173"/>
      <c r="D32" s="1173"/>
      <c r="E32" s="1173"/>
      <c r="F32" s="1173"/>
      <c r="G32" s="1174"/>
      <c r="H32" s="1132">
        <v>0</v>
      </c>
      <c r="I32" s="1133"/>
      <c r="J32" s="1133"/>
      <c r="K32" s="1134"/>
      <c r="L32" s="1131">
        <v>0</v>
      </c>
      <c r="M32" s="1131"/>
      <c r="N32" s="1131"/>
      <c r="O32" s="138"/>
      <c r="P32" s="138"/>
      <c r="Q32" s="138"/>
      <c r="R32" s="311"/>
      <c r="S32" s="312"/>
      <c r="T32" s="312"/>
      <c r="U32" s="312"/>
      <c r="V32" s="312"/>
      <c r="W32" s="345"/>
      <c r="X32" s="138"/>
      <c r="AG32" s="138" t="s">
        <v>683</v>
      </c>
    </row>
    <row r="33" spans="1:33" ht="16.5" customHeight="1">
      <c r="A33" s="1045" t="s">
        <v>706</v>
      </c>
      <c r="B33" s="1045"/>
      <c r="C33" s="1045"/>
      <c r="D33" s="1045"/>
      <c r="E33" s="1045"/>
      <c r="F33" s="1045"/>
      <c r="G33" s="1045"/>
      <c r="H33" s="1045"/>
      <c r="I33" s="1045"/>
      <c r="J33" s="1045"/>
      <c r="K33" s="1045"/>
      <c r="L33" s="1045"/>
      <c r="M33" s="1045"/>
      <c r="N33" s="1045"/>
      <c r="R33" s="311"/>
      <c r="S33" s="312"/>
      <c r="T33" s="312"/>
      <c r="U33" s="312"/>
      <c r="V33" s="312"/>
      <c r="W33" s="345"/>
      <c r="AE33" s="138" t="s">
        <v>312</v>
      </c>
      <c r="AG33" s="138">
        <v>3200</v>
      </c>
    </row>
    <row r="34" spans="1:33" ht="16.5" customHeight="1">
      <c r="A34" s="995" t="s">
        <v>472</v>
      </c>
      <c r="B34" s="1017"/>
      <c r="C34" s="1017"/>
      <c r="D34" s="1017"/>
      <c r="E34" s="183" t="s">
        <v>438</v>
      </c>
      <c r="F34" s="1040" t="s">
        <v>473</v>
      </c>
      <c r="G34" s="1040"/>
      <c r="H34" s="910">
        <v>0</v>
      </c>
      <c r="I34" s="911"/>
      <c r="J34" s="235"/>
      <c r="L34" s="235"/>
      <c r="M34" s="225"/>
      <c r="N34" s="225"/>
      <c r="O34" s="1097" t="s">
        <v>631</v>
      </c>
      <c r="R34" s="311"/>
      <c r="S34" s="312"/>
      <c r="T34" s="312"/>
      <c r="U34" s="312"/>
      <c r="V34" s="312"/>
      <c r="W34" s="345"/>
      <c r="AE34" s="138" t="s">
        <v>71</v>
      </c>
      <c r="AG34" s="138">
        <v>1500</v>
      </c>
    </row>
    <row r="35" spans="1:33" ht="16.5" customHeight="1">
      <c r="A35" s="995"/>
      <c r="B35" s="1017"/>
      <c r="C35" s="1017"/>
      <c r="D35" s="1017"/>
      <c r="E35" s="184" t="s">
        <v>91</v>
      </c>
      <c r="F35" s="1044" t="s">
        <v>474</v>
      </c>
      <c r="G35" s="1044"/>
      <c r="H35" s="908">
        <v>0</v>
      </c>
      <c r="I35" s="909"/>
      <c r="J35" s="223"/>
      <c r="L35" s="223"/>
      <c r="M35" s="224"/>
      <c r="N35" s="224"/>
      <c r="O35" s="1097"/>
      <c r="R35" s="311"/>
      <c r="S35" s="312"/>
      <c r="T35" s="312"/>
      <c r="U35" s="312"/>
      <c r="V35" s="312"/>
      <c r="W35" s="345"/>
      <c r="AE35" s="138" t="s">
        <v>69</v>
      </c>
      <c r="AG35" s="138">
        <v>700</v>
      </c>
    </row>
    <row r="36" spans="1:33" ht="16.5" customHeight="1">
      <c r="A36" s="995" t="s">
        <v>605</v>
      </c>
      <c r="B36" s="1017"/>
      <c r="C36" s="1017"/>
      <c r="D36" s="1017"/>
      <c r="E36" s="183" t="s">
        <v>438</v>
      </c>
      <c r="F36" s="1040" t="s">
        <v>473</v>
      </c>
      <c r="G36" s="1040"/>
      <c r="H36" s="910">
        <v>0</v>
      </c>
      <c r="I36" s="911"/>
      <c r="J36" s="223"/>
      <c r="L36" s="223"/>
      <c r="M36" s="224"/>
      <c r="N36" s="224"/>
      <c r="O36" s="1097"/>
      <c r="R36" s="311"/>
      <c r="S36" s="312"/>
      <c r="T36" s="312"/>
      <c r="U36" s="312"/>
      <c r="V36" s="312"/>
      <c r="W36" s="345"/>
      <c r="AE36" s="138" t="s">
        <v>70</v>
      </c>
      <c r="AG36" s="138">
        <v>240</v>
      </c>
    </row>
    <row r="37" spans="1:33" ht="16.5" customHeight="1" thickBot="1">
      <c r="A37" s="1048"/>
      <c r="B37" s="1040"/>
      <c r="C37" s="1040"/>
      <c r="D37" s="1040"/>
      <c r="E37" s="470" t="s">
        <v>91</v>
      </c>
      <c r="F37" s="1041" t="s">
        <v>474</v>
      </c>
      <c r="G37" s="1041"/>
      <c r="H37" s="945">
        <v>0</v>
      </c>
      <c r="I37" s="946"/>
      <c r="J37" s="441"/>
      <c r="K37" s="154"/>
      <c r="L37" s="441"/>
      <c r="M37" s="443"/>
      <c r="N37" s="443"/>
      <c r="O37" s="1097"/>
      <c r="R37" s="311"/>
      <c r="S37" s="312"/>
      <c r="T37" s="312"/>
      <c r="U37" s="312"/>
      <c r="V37" s="312"/>
      <c r="W37" s="345"/>
      <c r="AG37" s="138">
        <v>50</v>
      </c>
    </row>
    <row r="38" spans="1:23" ht="16.5" customHeight="1" thickBot="1">
      <c r="A38" s="471" t="s">
        <v>705</v>
      </c>
      <c r="B38" s="471"/>
      <c r="C38" s="471"/>
      <c r="D38" s="471"/>
      <c r="E38" s="471"/>
      <c r="F38" s="471"/>
      <c r="G38" s="471"/>
      <c r="H38" s="471"/>
      <c r="I38" s="471"/>
      <c r="J38" s="471"/>
      <c r="K38" s="471"/>
      <c r="L38" s="471"/>
      <c r="M38" s="471"/>
      <c r="N38" s="471"/>
      <c r="R38" s="311"/>
      <c r="S38" s="312"/>
      <c r="T38" s="312"/>
      <c r="U38" s="312"/>
      <c r="V38" s="312"/>
      <c r="W38" s="345"/>
    </row>
    <row r="39" spans="18:23" ht="12.75">
      <c r="R39" s="311"/>
      <c r="S39" s="312"/>
      <c r="T39" s="312"/>
      <c r="U39" s="312"/>
      <c r="V39" s="312"/>
      <c r="W39" s="345"/>
    </row>
    <row r="40" spans="18:23" ht="12.75">
      <c r="R40" s="311"/>
      <c r="S40" s="312"/>
      <c r="T40" s="312"/>
      <c r="U40" s="312"/>
      <c r="V40" s="312"/>
      <c r="W40" s="345"/>
    </row>
    <row r="41" spans="1:23" ht="12.75">
      <c r="A41" s="1108" t="s">
        <v>594</v>
      </c>
      <c r="B41" s="1108"/>
      <c r="C41" s="1108"/>
      <c r="D41" s="1108"/>
      <c r="E41" s="1108"/>
      <c r="F41" s="1108"/>
      <c r="G41" s="1108"/>
      <c r="H41" s="1108"/>
      <c r="I41" s="1108"/>
      <c r="J41" s="1108"/>
      <c r="K41" s="1108"/>
      <c r="L41" s="1108"/>
      <c r="M41" s="1108"/>
      <c r="N41" s="1108"/>
      <c r="R41" s="311"/>
      <c r="S41" s="312"/>
      <c r="T41" s="312"/>
      <c r="U41" s="312"/>
      <c r="V41" s="312"/>
      <c r="W41" s="345"/>
    </row>
    <row r="42" spans="1:28" ht="13.5" thickBot="1">
      <c r="A42" s="1109"/>
      <c r="B42" s="1109"/>
      <c r="C42" s="1109"/>
      <c r="D42" s="1109"/>
      <c r="E42" s="1109"/>
      <c r="F42" s="1109"/>
      <c r="G42" s="1109"/>
      <c r="H42" s="1109"/>
      <c r="I42" s="1109"/>
      <c r="J42" s="1109"/>
      <c r="K42" s="1109"/>
      <c r="L42" s="1109"/>
      <c r="M42" s="1109"/>
      <c r="N42" s="1109"/>
      <c r="O42" s="166"/>
      <c r="P42" s="166"/>
      <c r="Q42" s="166"/>
      <c r="R42" s="311"/>
      <c r="S42" s="312"/>
      <c r="T42" s="312"/>
      <c r="U42" s="312"/>
      <c r="V42" s="312"/>
      <c r="W42" s="345"/>
      <c r="X42" s="166"/>
      <c r="Y42" s="166"/>
      <c r="Z42" s="166"/>
      <c r="AA42" s="166"/>
      <c r="AB42" s="166"/>
    </row>
    <row r="43" spans="1:24" ht="12.75">
      <c r="A43" s="891" t="s">
        <v>16</v>
      </c>
      <c r="B43" s="952"/>
      <c r="C43" s="891" t="s">
        <v>17</v>
      </c>
      <c r="D43" s="952"/>
      <c r="E43" s="891" t="s">
        <v>18</v>
      </c>
      <c r="F43" s="952"/>
      <c r="G43" s="891" t="s">
        <v>19</v>
      </c>
      <c r="H43" s="952"/>
      <c r="I43" s="891" t="s">
        <v>20</v>
      </c>
      <c r="J43" s="952"/>
      <c r="K43" s="891" t="s">
        <v>21</v>
      </c>
      <c r="L43" s="952"/>
      <c r="M43" s="875" t="s">
        <v>22</v>
      </c>
      <c r="N43" s="975"/>
      <c r="O43" s="138"/>
      <c r="P43" s="138"/>
      <c r="Q43" s="138"/>
      <c r="R43" s="311"/>
      <c r="S43" s="312"/>
      <c r="T43" s="312"/>
      <c r="U43" s="312"/>
      <c r="V43" s="312"/>
      <c r="W43" s="345"/>
      <c r="X43" s="138"/>
    </row>
    <row r="44" spans="1:24" ht="13.15" customHeight="1">
      <c r="A44" s="1031" t="s">
        <v>75</v>
      </c>
      <c r="B44" s="1032"/>
      <c r="C44" s="1031" t="s">
        <v>263</v>
      </c>
      <c r="D44" s="1032"/>
      <c r="E44" s="1031" t="s">
        <v>76</v>
      </c>
      <c r="F44" s="1032"/>
      <c r="G44" s="1031" t="s">
        <v>266</v>
      </c>
      <c r="H44" s="1032"/>
      <c r="I44" s="1031" t="s">
        <v>25</v>
      </c>
      <c r="J44" s="1032"/>
      <c r="K44" s="1031" t="s">
        <v>273</v>
      </c>
      <c r="L44" s="1032"/>
      <c r="M44" s="1035" t="s">
        <v>77</v>
      </c>
      <c r="N44" s="1042"/>
      <c r="O44" s="138"/>
      <c r="P44" s="138"/>
      <c r="Q44" s="138"/>
      <c r="R44" s="311"/>
      <c r="S44" s="312"/>
      <c r="T44" s="312"/>
      <c r="U44" s="312"/>
      <c r="V44" s="312"/>
      <c r="W44" s="345"/>
      <c r="X44" s="138"/>
    </row>
    <row r="45" spans="1:24" ht="12.75">
      <c r="A45" s="1033"/>
      <c r="B45" s="1034"/>
      <c r="C45" s="1033"/>
      <c r="D45" s="1034"/>
      <c r="E45" s="1033"/>
      <c r="F45" s="1034"/>
      <c r="G45" s="1033"/>
      <c r="H45" s="1034"/>
      <c r="I45" s="1033"/>
      <c r="J45" s="1034"/>
      <c r="K45" s="1033"/>
      <c r="L45" s="1034"/>
      <c r="M45" s="1034"/>
      <c r="N45" s="1043"/>
      <c r="O45" s="138"/>
      <c r="P45" s="138"/>
      <c r="Q45" s="138"/>
      <c r="R45" s="311"/>
      <c r="S45" s="312"/>
      <c r="T45" s="312"/>
      <c r="U45" s="312"/>
      <c r="V45" s="312"/>
      <c r="W45" s="345"/>
      <c r="X45" s="138"/>
    </row>
    <row r="46" spans="1:24" ht="14.25">
      <c r="A46" s="947" t="s">
        <v>262</v>
      </c>
      <c r="B46" s="880"/>
      <c r="C46" s="947" t="s">
        <v>264</v>
      </c>
      <c r="D46" s="880"/>
      <c r="E46" s="947" t="s">
        <v>265</v>
      </c>
      <c r="F46" s="880"/>
      <c r="G46" s="947" t="s">
        <v>267</v>
      </c>
      <c r="H46" s="880"/>
      <c r="I46" s="947" t="s">
        <v>269</v>
      </c>
      <c r="J46" s="880"/>
      <c r="K46" s="947" t="s">
        <v>271</v>
      </c>
      <c r="L46" s="880"/>
      <c r="M46" s="1036" t="s">
        <v>564</v>
      </c>
      <c r="N46" s="982"/>
      <c r="O46" s="138"/>
      <c r="P46" s="138"/>
      <c r="Q46" s="138"/>
      <c r="R46" s="346"/>
      <c r="S46" s="347"/>
      <c r="T46" s="347"/>
      <c r="U46" s="347"/>
      <c r="V46" s="347"/>
      <c r="W46" s="348"/>
      <c r="X46" s="138"/>
    </row>
    <row r="47" spans="1:24" ht="12.75">
      <c r="A47" s="888" t="s">
        <v>398</v>
      </c>
      <c r="B47" s="878"/>
      <c r="C47" s="888" t="s">
        <v>399</v>
      </c>
      <c r="D47" s="878"/>
      <c r="E47" s="888" t="s">
        <v>400</v>
      </c>
      <c r="F47" s="878"/>
      <c r="G47" s="888" t="s">
        <v>268</v>
      </c>
      <c r="H47" s="878"/>
      <c r="I47" s="888" t="s">
        <v>270</v>
      </c>
      <c r="J47" s="878"/>
      <c r="K47" s="888" t="s">
        <v>272</v>
      </c>
      <c r="L47" s="878"/>
      <c r="M47" s="878" t="s">
        <v>274</v>
      </c>
      <c r="N47" s="918"/>
      <c r="O47" s="138"/>
      <c r="P47" s="138"/>
      <c r="Q47" s="138"/>
      <c r="R47" s="311"/>
      <c r="S47" s="312"/>
      <c r="T47" s="312"/>
      <c r="U47" s="312"/>
      <c r="V47" s="312"/>
      <c r="W47" s="345"/>
      <c r="X47" s="138"/>
    </row>
    <row r="48" spans="1:24" ht="13.5" thickBot="1">
      <c r="A48" s="1142">
        <f>IF(H10="3ST",IF(H16=0,1,IF(H16=1,'Intersection Tables'!AB9,'Intersection Tables'!AC9)),IF(H10="4ST",IF(H16=0,1,IF(H16=1,'Intersection Tables'!AB11,'Intersection Tables'!AC11)),IF(H19=0,1,IF(H19=1,VLOOKUP(H10,'Intersection Tables'!Y10:AE12,4,FALSE),IF(H19=2,VLOOKUP(H10,'Intersection Tables'!Y10:AE12,5,FALSE),IF(H19=3,VLOOKUP(H10,'Intersection Tables'!Y10:AE12,6,FALSE),VLOOKUP(H10,'Intersection Tables'!Y10:AE12,7,FALSE)))))))</f>
        <v>1</v>
      </c>
      <c r="B48" s="1143"/>
      <c r="C48" s="1142">
        <f>IF($H$10="3ST",1,IF($H$10="4ST",1,AB10))</f>
        <v>0.9801</v>
      </c>
      <c r="D48" s="1143"/>
      <c r="E48" s="1142">
        <f>IF(H10="3ST",IF(H17=0,1,IF(H17=1,'Intersection Tables'!AB24,'Intersection Tables'!AC24)),IF(H10="4ST",IF(H17=0,1,IF(H17=1,'Intersection Tables'!AB26,'Intersection Tables'!AC26)),IF(H20=0,1,IF(H20=1,VLOOKUP(H10,'Intersection Tables'!Y24:AE27,4,FALSE),IF(H20=2,VLOOKUP(H10,'Intersection Tables'!Y24:AE27,5,FALSE),IF(H20=3,VLOOKUP(H10,'Intersection Tables'!Y24:AE27,6,FALSE),VLOOKUP(H10,'Intersection Tables'!Y24:AE27,7,FALSE)))))))</f>
        <v>1</v>
      </c>
      <c r="F48" s="1143"/>
      <c r="G48" s="1142">
        <f>IF($H$10="3ST",1,IF(H$10="4ST",1,POWER(0.98,$H$26)))</f>
        <v>1</v>
      </c>
      <c r="H48" s="1143"/>
      <c r="I48" s="1142">
        <f>IF($H$13="Not Present",1,(1-(IF('Intersection Tables'!$C$81="No",VLOOKUP($H$10,'Intersection Tables'!$B$84:$G$87,3,FALSE),VLOOKUP($H$10,'Intersection Tables'!$B$84:$G$87,5,FALSE)))*0.38))</f>
        <v>1</v>
      </c>
      <c r="J48" s="1143"/>
      <c r="K48" s="1142">
        <f>IF(RIGHT(H10,2)="SG",IF($H$27="Not Present",1,$AB$23),1)</f>
        <v>1</v>
      </c>
      <c r="L48" s="1143"/>
      <c r="M48" s="1144">
        <f>+A48*C48*E48*G48*I48*K48</f>
        <v>0.9801</v>
      </c>
      <c r="N48" s="1145"/>
      <c r="O48" s="138"/>
      <c r="P48" s="138"/>
      <c r="Q48" s="138"/>
      <c r="R48" s="311"/>
      <c r="S48" s="312"/>
      <c r="T48" s="312"/>
      <c r="U48" s="312"/>
      <c r="V48" s="312"/>
      <c r="W48" s="345"/>
      <c r="X48" s="138"/>
    </row>
    <row r="49" spans="18:23" ht="12.75">
      <c r="R49" s="311"/>
      <c r="S49" s="312"/>
      <c r="T49" s="312"/>
      <c r="U49" s="312"/>
      <c r="V49" s="312"/>
      <c r="W49" s="345"/>
    </row>
    <row r="50" spans="1:23" ht="12.75">
      <c r="A50" s="1046"/>
      <c r="B50" s="1047"/>
      <c r="E50" s="150"/>
      <c r="F50" s="134"/>
      <c r="R50" s="311"/>
      <c r="S50" s="312"/>
      <c r="T50" s="312"/>
      <c r="U50" s="312"/>
      <c r="V50" s="312"/>
      <c r="W50" s="345"/>
    </row>
    <row r="51" spans="1:23" ht="12.75">
      <c r="A51" s="1108" t="s">
        <v>595</v>
      </c>
      <c r="B51" s="1108"/>
      <c r="C51" s="1108"/>
      <c r="D51" s="1108"/>
      <c r="E51" s="1108"/>
      <c r="F51" s="1108"/>
      <c r="G51" s="1108"/>
      <c r="H51" s="1108"/>
      <c r="I51" s="1108"/>
      <c r="J51" s="1108"/>
      <c r="K51" s="1108"/>
      <c r="L51" s="1108"/>
      <c r="M51" s="1108"/>
      <c r="N51" s="1108"/>
      <c r="R51" s="311"/>
      <c r="S51" s="312"/>
      <c r="T51" s="312"/>
      <c r="U51" s="312"/>
      <c r="V51" s="312"/>
      <c r="W51" s="345"/>
    </row>
    <row r="52" spans="1:24" ht="13.5" thickBot="1">
      <c r="A52" s="1109"/>
      <c r="B52" s="1109"/>
      <c r="C52" s="1109"/>
      <c r="D52" s="1109"/>
      <c r="E52" s="1109"/>
      <c r="F52" s="1109"/>
      <c r="G52" s="1109"/>
      <c r="H52" s="1109"/>
      <c r="I52" s="1109"/>
      <c r="J52" s="1109"/>
      <c r="K52" s="1109"/>
      <c r="L52" s="1109"/>
      <c r="M52" s="1109"/>
      <c r="N52" s="1109"/>
      <c r="O52" s="134"/>
      <c r="P52" s="134"/>
      <c r="Q52" s="302"/>
      <c r="R52" s="311"/>
      <c r="S52" s="312"/>
      <c r="T52" s="312"/>
      <c r="U52" s="312"/>
      <c r="V52" s="312"/>
      <c r="W52" s="345"/>
      <c r="X52" s="302"/>
    </row>
    <row r="53" spans="1:24" ht="12.75">
      <c r="A53" s="1112" t="s">
        <v>16</v>
      </c>
      <c r="B53" s="891"/>
      <c r="C53" s="926" t="s">
        <v>17</v>
      </c>
      <c r="D53" s="1147"/>
      <c r="E53" s="1148"/>
      <c r="F53" s="926" t="s">
        <v>18</v>
      </c>
      <c r="G53" s="1148"/>
      <c r="H53" s="139" t="s">
        <v>19</v>
      </c>
      <c r="I53" s="876" t="s">
        <v>20</v>
      </c>
      <c r="J53" s="891"/>
      <c r="K53" s="139" t="s">
        <v>21</v>
      </c>
      <c r="L53" s="140" t="s">
        <v>22</v>
      </c>
      <c r="M53" s="139" t="s">
        <v>23</v>
      </c>
      <c r="N53" s="437" t="s">
        <v>172</v>
      </c>
      <c r="P53" s="185"/>
      <c r="Q53" s="303"/>
      <c r="R53" s="311"/>
      <c r="S53" s="312"/>
      <c r="T53" s="312"/>
      <c r="U53" s="312"/>
      <c r="V53" s="312"/>
      <c r="W53" s="345"/>
      <c r="X53" s="303"/>
    </row>
    <row r="54" spans="1:24" ht="13.15" customHeight="1">
      <c r="A54" s="868" t="s">
        <v>28</v>
      </c>
      <c r="B54" s="992"/>
      <c r="C54" s="1149" t="s">
        <v>82</v>
      </c>
      <c r="D54" s="1060"/>
      <c r="E54" s="1140"/>
      <c r="F54" s="867" t="s">
        <v>29</v>
      </c>
      <c r="G54" s="1140"/>
      <c r="H54" s="967" t="s">
        <v>565</v>
      </c>
      <c r="I54" s="877" t="s">
        <v>169</v>
      </c>
      <c r="J54" s="914"/>
      <c r="K54" s="877" t="s">
        <v>566</v>
      </c>
      <c r="L54" s="867" t="s">
        <v>30</v>
      </c>
      <c r="M54" s="877" t="s">
        <v>567</v>
      </c>
      <c r="N54" s="867" t="s">
        <v>568</v>
      </c>
      <c r="P54" s="171"/>
      <c r="Q54" s="171"/>
      <c r="R54" s="311"/>
      <c r="S54" s="312"/>
      <c r="T54" s="312"/>
      <c r="U54" s="312"/>
      <c r="V54" s="312"/>
      <c r="W54" s="345"/>
      <c r="X54" s="171"/>
    </row>
    <row r="55" spans="1:24" ht="13.5" thickBot="1">
      <c r="A55" s="993"/>
      <c r="B55" s="993"/>
      <c r="C55" s="1043"/>
      <c r="D55" s="1150"/>
      <c r="E55" s="1033"/>
      <c r="F55" s="1043"/>
      <c r="G55" s="1033"/>
      <c r="H55" s="1034"/>
      <c r="I55" s="914"/>
      <c r="J55" s="914"/>
      <c r="K55" s="914"/>
      <c r="L55" s="871"/>
      <c r="M55" s="914"/>
      <c r="N55" s="869"/>
      <c r="O55" s="138"/>
      <c r="P55" s="171"/>
      <c r="Q55" s="171"/>
      <c r="R55" s="349"/>
      <c r="S55" s="318"/>
      <c r="T55" s="318"/>
      <c r="U55" s="318"/>
      <c r="V55" s="318"/>
      <c r="W55" s="350"/>
      <c r="X55" s="171"/>
    </row>
    <row r="56" spans="1:24" ht="13.15" customHeight="1" thickTop="1">
      <c r="A56" s="993"/>
      <c r="B56" s="993"/>
      <c r="C56" s="918" t="s">
        <v>401</v>
      </c>
      <c r="D56" s="1099"/>
      <c r="E56" s="879"/>
      <c r="F56" s="1141" t="s">
        <v>401</v>
      </c>
      <c r="G56" s="1140"/>
      <c r="H56" s="1035" t="s">
        <v>354</v>
      </c>
      <c r="I56" s="914"/>
      <c r="J56" s="914"/>
      <c r="K56" s="914" t="s">
        <v>512</v>
      </c>
      <c r="L56" s="1141" t="s">
        <v>276</v>
      </c>
      <c r="M56" s="977"/>
      <c r="N56" s="869"/>
      <c r="O56" s="168"/>
      <c r="P56" s="168"/>
      <c r="Q56" s="168"/>
      <c r="R56" s="168"/>
      <c r="S56" s="168"/>
      <c r="T56" s="168"/>
      <c r="U56" s="168"/>
      <c r="V56" s="168"/>
      <c r="W56" s="168"/>
      <c r="X56" s="168"/>
    </row>
    <row r="57" spans="1:24" ht="12.75">
      <c r="A57" s="993"/>
      <c r="B57" s="993"/>
      <c r="C57" s="142" t="s">
        <v>83</v>
      </c>
      <c r="D57" s="142" t="s">
        <v>84</v>
      </c>
      <c r="E57" s="142" t="s">
        <v>275</v>
      </c>
      <c r="F57" s="1043"/>
      <c r="G57" s="1033"/>
      <c r="H57" s="1034"/>
      <c r="I57" s="914"/>
      <c r="J57" s="914"/>
      <c r="K57" s="977"/>
      <c r="L57" s="1063"/>
      <c r="M57" s="977"/>
      <c r="N57" s="871"/>
      <c r="O57" s="168"/>
      <c r="P57" s="168"/>
      <c r="Q57" s="168"/>
      <c r="R57" s="168"/>
      <c r="S57" s="168"/>
      <c r="T57" s="168"/>
      <c r="U57" s="168"/>
      <c r="V57" s="168"/>
      <c r="W57" s="168"/>
      <c r="X57" s="168"/>
    </row>
    <row r="58" spans="1:24" ht="12.75">
      <c r="A58" s="879" t="s">
        <v>31</v>
      </c>
      <c r="B58" s="982"/>
      <c r="C58" s="143" t="e">
        <f>VLOOKUP($H$10,'Intersection Tables'!$B$9:$F$12,2,FALSE)</f>
        <v>#N/A</v>
      </c>
      <c r="D58" s="143" t="e">
        <f>VLOOKUP($H$10,'Intersection Tables'!$B$9:$F$12,3,FALSE)</f>
        <v>#N/A</v>
      </c>
      <c r="E58" s="143" t="e">
        <f>VLOOKUP($H$10,'Intersection Tables'!$B$9:$F$12,4,FALSE)</f>
        <v>#N/A</v>
      </c>
      <c r="F58" s="983" t="e">
        <f>VLOOKUP($H$10,'Intersection Tables'!$B$9:$F$12,5,FALSE)</f>
        <v>#N/A</v>
      </c>
      <c r="G58" s="1168"/>
      <c r="H58" s="144" t="e">
        <f>EXP(C58+(D58*LN($H$11))+(E58*LN($H$12)))</f>
        <v>#N/A</v>
      </c>
      <c r="I58" s="887">
        <v>1</v>
      </c>
      <c r="J58" s="950"/>
      <c r="K58" s="144" t="e">
        <f>H58*I58</f>
        <v>#N/A</v>
      </c>
      <c r="L58" s="186">
        <f>+M48</f>
        <v>0.9801</v>
      </c>
      <c r="M58" s="143">
        <f>+$H$14</f>
        <v>1</v>
      </c>
      <c r="N58" s="145" t="e">
        <f>+K58*L58*M58</f>
        <v>#N/A</v>
      </c>
      <c r="O58" s="155"/>
      <c r="P58" s="155"/>
      <c r="Q58" s="155"/>
      <c r="R58" s="155"/>
      <c r="S58" s="155"/>
      <c r="T58" s="155"/>
      <c r="U58" s="155"/>
      <c r="V58" s="155"/>
      <c r="W58" s="155"/>
      <c r="X58" s="155"/>
    </row>
    <row r="59" spans="1:24" ht="14.25">
      <c r="A59" s="1005" t="s">
        <v>32</v>
      </c>
      <c r="B59" s="1005"/>
      <c r="C59" s="970" t="e">
        <f>VLOOKUP($H$10,'Intersection Tables'!$B$14:$F$17,2,FALSE)</f>
        <v>#N/A</v>
      </c>
      <c r="D59" s="970" t="e">
        <f>VLOOKUP($H$10,'Intersection Tables'!$B$14:$F$17,3,FALSE)</f>
        <v>#N/A</v>
      </c>
      <c r="E59" s="970" t="e">
        <f>VLOOKUP($H$10,'Intersection Tables'!$B$14:$F$17,4,FALSE)</f>
        <v>#N/A</v>
      </c>
      <c r="F59" s="1002" t="e">
        <f>VLOOKUP($H$10,'Intersection Tables'!$B$14:$F$17,5,FALSE)</f>
        <v>#N/A</v>
      </c>
      <c r="G59" s="1003"/>
      <c r="H59" s="928" t="e">
        <f>EXP(C59+(D59*LN($H$11))+(E59*LN($H$12)))</f>
        <v>#N/A</v>
      </c>
      <c r="I59" s="878" t="s">
        <v>513</v>
      </c>
      <c r="J59" s="878"/>
      <c r="K59" s="928" t="e">
        <f>H58*I60</f>
        <v>#N/A</v>
      </c>
      <c r="L59" s="1002">
        <f>+M48</f>
        <v>0.9801</v>
      </c>
      <c r="M59" s="970">
        <f>+$H$14</f>
        <v>1</v>
      </c>
      <c r="N59" s="972" t="e">
        <f>+K59*L59*M59</f>
        <v>#N/A</v>
      </c>
      <c r="O59" s="155"/>
      <c r="P59" s="155"/>
      <c r="Q59" s="155"/>
      <c r="R59" s="155"/>
      <c r="S59" s="155"/>
      <c r="T59" s="155"/>
      <c r="U59" s="155"/>
      <c r="V59" s="155"/>
      <c r="W59" s="155"/>
      <c r="X59" s="155"/>
    </row>
    <row r="60" spans="1:24" ht="12.75">
      <c r="A60" s="1006"/>
      <c r="B60" s="1006"/>
      <c r="C60" s="963"/>
      <c r="D60" s="963"/>
      <c r="E60" s="963"/>
      <c r="F60" s="964"/>
      <c r="G60" s="1004"/>
      <c r="H60" s="963"/>
      <c r="I60" s="887" t="e">
        <f>+H59/(H59+H61)</f>
        <v>#N/A</v>
      </c>
      <c r="J60" s="950"/>
      <c r="K60" s="1009"/>
      <c r="L60" s="1167"/>
      <c r="M60" s="963"/>
      <c r="N60" s="976"/>
      <c r="O60" s="155"/>
      <c r="P60" s="155"/>
      <c r="Q60" s="155"/>
      <c r="R60" s="155"/>
      <c r="S60" s="155"/>
      <c r="T60" s="155"/>
      <c r="U60" s="155"/>
      <c r="V60" s="155"/>
      <c r="W60" s="155"/>
      <c r="X60" s="155"/>
    </row>
    <row r="61" spans="1:24" ht="14.25">
      <c r="A61" s="1018" t="s">
        <v>33</v>
      </c>
      <c r="B61" s="1019"/>
      <c r="C61" s="970" t="e">
        <f>VLOOKUP($H$10,'Intersection Tables'!$B$19:$F$22,2,FALSE)</f>
        <v>#N/A</v>
      </c>
      <c r="D61" s="970" t="e">
        <f>VLOOKUP($H$10,'Intersection Tables'!$B$19:$F$22,3,FALSE)</f>
        <v>#N/A</v>
      </c>
      <c r="E61" s="970" t="e">
        <f>VLOOKUP($H$10,'Intersection Tables'!$B$19:$F$22,4,FALSE)</f>
        <v>#N/A</v>
      </c>
      <c r="F61" s="1002" t="e">
        <f>VLOOKUP($H$10,'Intersection Tables'!$B$19:$F$22,5,FALSE)</f>
        <v>#N/A</v>
      </c>
      <c r="G61" s="1003"/>
      <c r="H61" s="928" t="e">
        <f>EXP(C61+(D61*LN($H$11))+(E61*LN($H$12)))</f>
        <v>#N/A</v>
      </c>
      <c r="I61" s="878" t="s">
        <v>514</v>
      </c>
      <c r="J61" s="878"/>
      <c r="K61" s="928" t="e">
        <f>H58*I62</f>
        <v>#N/A</v>
      </c>
      <c r="L61" s="1002">
        <f>+M48</f>
        <v>0.9801</v>
      </c>
      <c r="M61" s="970">
        <f>+$H$14</f>
        <v>1</v>
      </c>
      <c r="N61" s="972" t="e">
        <f>+K61*L61*M61</f>
        <v>#N/A</v>
      </c>
      <c r="O61" s="155"/>
      <c r="P61" s="155"/>
      <c r="Q61" s="155"/>
      <c r="R61" s="155"/>
      <c r="S61" s="155"/>
      <c r="T61" s="155"/>
      <c r="U61" s="155"/>
      <c r="V61" s="155"/>
      <c r="W61" s="155"/>
      <c r="X61" s="155"/>
    </row>
    <row r="62" spans="1:24" ht="13.5" thickBot="1">
      <c r="A62" s="881"/>
      <c r="B62" s="1020"/>
      <c r="C62" s="971"/>
      <c r="D62" s="971"/>
      <c r="E62" s="971"/>
      <c r="F62" s="1012"/>
      <c r="G62" s="1013"/>
      <c r="H62" s="971"/>
      <c r="I62" s="979" t="e">
        <f>I58-I60</f>
        <v>#N/A</v>
      </c>
      <c r="J62" s="980"/>
      <c r="K62" s="1011"/>
      <c r="L62" s="1146"/>
      <c r="M62" s="971"/>
      <c r="N62" s="973"/>
      <c r="O62" s="155"/>
      <c r="P62" s="155"/>
      <c r="Q62" s="155"/>
      <c r="R62" s="155"/>
      <c r="S62" s="155"/>
      <c r="T62" s="155"/>
      <c r="U62" s="155"/>
      <c r="V62" s="155"/>
      <c r="W62" s="155"/>
      <c r="X62" s="155"/>
    </row>
    <row r="65" spans="1:14" ht="12.75">
      <c r="A65" s="1108" t="s">
        <v>596</v>
      </c>
      <c r="B65" s="1108"/>
      <c r="C65" s="1108"/>
      <c r="D65" s="1108"/>
      <c r="E65" s="1108"/>
      <c r="F65" s="1108"/>
      <c r="G65" s="1108"/>
      <c r="H65" s="1108"/>
      <c r="I65" s="1108"/>
      <c r="J65" s="1108"/>
      <c r="K65" s="1108"/>
      <c r="L65" s="1108"/>
      <c r="M65" s="1108"/>
      <c r="N65" s="1108"/>
    </row>
    <row r="66" spans="1:24" ht="13.5" thickBot="1">
      <c r="A66" s="1109"/>
      <c r="B66" s="1109"/>
      <c r="C66" s="1109"/>
      <c r="D66" s="1109"/>
      <c r="E66" s="1109"/>
      <c r="F66" s="1109"/>
      <c r="G66" s="1109"/>
      <c r="H66" s="1109"/>
      <c r="I66" s="1109"/>
      <c r="J66" s="1109"/>
      <c r="K66" s="1109"/>
      <c r="L66" s="1109"/>
      <c r="M66" s="1109"/>
      <c r="N66" s="1109"/>
      <c r="O66" s="133"/>
      <c r="P66" s="133"/>
      <c r="Q66" s="304"/>
      <c r="R66" s="304"/>
      <c r="S66" s="304"/>
      <c r="T66" s="304"/>
      <c r="U66" s="304"/>
      <c r="V66" s="304"/>
      <c r="W66" s="304"/>
      <c r="X66" s="304"/>
    </row>
    <row r="67" spans="1:24" ht="12.75">
      <c r="A67" s="1112" t="s">
        <v>16</v>
      </c>
      <c r="B67" s="1112"/>
      <c r="C67" s="891"/>
      <c r="D67" s="875" t="s">
        <v>17</v>
      </c>
      <c r="E67" s="974"/>
      <c r="F67" s="875" t="s">
        <v>18</v>
      </c>
      <c r="G67" s="875"/>
      <c r="H67" s="875" t="s">
        <v>19</v>
      </c>
      <c r="I67" s="974"/>
      <c r="J67" s="875" t="s">
        <v>20</v>
      </c>
      <c r="K67" s="875"/>
      <c r="L67" s="875" t="s">
        <v>21</v>
      </c>
      <c r="M67" s="974"/>
      <c r="N67" s="975"/>
      <c r="O67" s="134"/>
      <c r="P67" s="134"/>
      <c r="Q67" s="302"/>
      <c r="R67" s="302"/>
      <c r="S67" s="302"/>
      <c r="T67" s="302"/>
      <c r="U67" s="302"/>
      <c r="V67" s="302"/>
      <c r="W67" s="302"/>
      <c r="X67" s="302"/>
    </row>
    <row r="68" spans="1:24" ht="12.75">
      <c r="A68" s="1000" t="s">
        <v>34</v>
      </c>
      <c r="B68" s="877"/>
      <c r="C68" s="880"/>
      <c r="D68" s="877" t="s">
        <v>515</v>
      </c>
      <c r="E68" s="878"/>
      <c r="F68" s="877" t="s">
        <v>569</v>
      </c>
      <c r="G68" s="877"/>
      <c r="H68" s="877" t="s">
        <v>517</v>
      </c>
      <c r="I68" s="878"/>
      <c r="J68" s="877" t="s">
        <v>570</v>
      </c>
      <c r="K68" s="877"/>
      <c r="L68" s="877" t="s">
        <v>571</v>
      </c>
      <c r="M68" s="877"/>
      <c r="N68" s="918"/>
      <c r="O68" s="133"/>
      <c r="P68" s="133"/>
      <c r="Q68" s="304"/>
      <c r="R68" s="304"/>
      <c r="S68" s="304"/>
      <c r="T68" s="304"/>
      <c r="U68" s="304"/>
      <c r="V68" s="304"/>
      <c r="W68" s="304"/>
      <c r="X68" s="304"/>
    </row>
    <row r="69" spans="1:24" ht="12.75">
      <c r="A69" s="1000"/>
      <c r="B69" s="877"/>
      <c r="C69" s="880"/>
      <c r="D69" s="878"/>
      <c r="E69" s="878"/>
      <c r="F69" s="878"/>
      <c r="G69" s="878"/>
      <c r="H69" s="878"/>
      <c r="I69" s="878"/>
      <c r="J69" s="878"/>
      <c r="K69" s="878"/>
      <c r="L69" s="878"/>
      <c r="M69" s="878"/>
      <c r="N69" s="918"/>
      <c r="O69" s="133"/>
      <c r="P69" s="133"/>
      <c r="Q69" s="304"/>
      <c r="R69" s="304"/>
      <c r="S69" s="304"/>
      <c r="T69" s="304"/>
      <c r="U69" s="304"/>
      <c r="V69" s="304"/>
      <c r="W69" s="304"/>
      <c r="X69" s="304"/>
    </row>
    <row r="70" spans="1:24" ht="12.75">
      <c r="A70" s="888"/>
      <c r="B70" s="878"/>
      <c r="C70" s="880"/>
      <c r="D70" s="878"/>
      <c r="E70" s="878"/>
      <c r="F70" s="878"/>
      <c r="G70" s="878"/>
      <c r="H70" s="878"/>
      <c r="I70" s="878"/>
      <c r="J70" s="878"/>
      <c r="K70" s="878"/>
      <c r="L70" s="878"/>
      <c r="M70" s="878"/>
      <c r="N70" s="918"/>
      <c r="O70" s="133"/>
      <c r="P70" s="133"/>
      <c r="Q70" s="304"/>
      <c r="R70" s="304"/>
      <c r="S70" s="304"/>
      <c r="T70" s="304"/>
      <c r="U70" s="304"/>
      <c r="V70" s="304"/>
      <c r="W70" s="304"/>
      <c r="X70" s="304"/>
    </row>
    <row r="71" spans="1:24" ht="12.75">
      <c r="A71" s="888"/>
      <c r="B71" s="878"/>
      <c r="C71" s="880"/>
      <c r="D71" s="914" t="s">
        <v>402</v>
      </c>
      <c r="E71" s="880"/>
      <c r="F71" s="953" t="s">
        <v>572</v>
      </c>
      <c r="G71" s="953"/>
      <c r="H71" s="914" t="s">
        <v>402</v>
      </c>
      <c r="I71" s="880"/>
      <c r="J71" s="953" t="s">
        <v>573</v>
      </c>
      <c r="K71" s="953"/>
      <c r="L71" s="953" t="s">
        <v>573</v>
      </c>
      <c r="M71" s="953"/>
      <c r="N71" s="982"/>
      <c r="O71" s="134"/>
      <c r="P71" s="134"/>
      <c r="Q71" s="302"/>
      <c r="R71" s="302"/>
      <c r="S71" s="302"/>
      <c r="T71" s="302"/>
      <c r="U71" s="302"/>
      <c r="V71" s="302"/>
      <c r="W71" s="302"/>
      <c r="X71" s="302"/>
    </row>
    <row r="72" spans="1:24" ht="12.75">
      <c r="A72" s="888"/>
      <c r="B72" s="878"/>
      <c r="C72" s="880"/>
      <c r="D72" s="878"/>
      <c r="E72" s="880"/>
      <c r="F72" s="878"/>
      <c r="G72" s="878"/>
      <c r="H72" s="878"/>
      <c r="I72" s="880"/>
      <c r="J72" s="878"/>
      <c r="K72" s="878"/>
      <c r="L72" s="878"/>
      <c r="M72" s="878"/>
      <c r="N72" s="982"/>
      <c r="O72" s="134"/>
      <c r="P72" s="134"/>
      <c r="Q72" s="302"/>
      <c r="R72" s="302"/>
      <c r="S72" s="302"/>
      <c r="T72" s="302"/>
      <c r="U72" s="302"/>
      <c r="V72" s="302"/>
      <c r="W72" s="302"/>
      <c r="X72" s="302"/>
    </row>
    <row r="73" spans="1:24" ht="12.75">
      <c r="A73" s="879" t="s">
        <v>31</v>
      </c>
      <c r="B73" s="880"/>
      <c r="C73" s="880"/>
      <c r="D73" s="998">
        <v>1</v>
      </c>
      <c r="E73" s="998"/>
      <c r="F73" s="996" t="e">
        <f>+N59</f>
        <v>#N/A</v>
      </c>
      <c r="G73" s="999"/>
      <c r="H73" s="998">
        <v>1</v>
      </c>
      <c r="I73" s="998"/>
      <c r="J73" s="887" t="e">
        <f>N61</f>
        <v>#N/A</v>
      </c>
      <c r="K73" s="888"/>
      <c r="L73" s="996" t="e">
        <f>+N58</f>
        <v>#N/A</v>
      </c>
      <c r="M73" s="997"/>
      <c r="N73" s="997"/>
      <c r="O73" s="133"/>
      <c r="P73" s="133"/>
      <c r="Q73" s="304"/>
      <c r="R73" s="304"/>
      <c r="S73" s="304"/>
      <c r="T73" s="304"/>
      <c r="U73" s="304"/>
      <c r="V73" s="304"/>
      <c r="W73" s="304"/>
      <c r="X73" s="304"/>
    </row>
    <row r="74" spans="1:24" ht="14.25">
      <c r="A74" s="879"/>
      <c r="B74" s="880"/>
      <c r="C74" s="880"/>
      <c r="D74" s="880"/>
      <c r="E74" s="880"/>
      <c r="F74" s="919" t="s">
        <v>523</v>
      </c>
      <c r="G74" s="878"/>
      <c r="H74" s="880"/>
      <c r="I74" s="880"/>
      <c r="J74" s="919" t="s">
        <v>524</v>
      </c>
      <c r="K74" s="878"/>
      <c r="L74" s="919" t="s">
        <v>183</v>
      </c>
      <c r="M74" s="878"/>
      <c r="N74" s="918"/>
      <c r="O74" s="133"/>
      <c r="P74" s="133"/>
      <c r="Q74" s="304"/>
      <c r="R74" s="304"/>
      <c r="S74" s="304"/>
      <c r="T74" s="304"/>
      <c r="U74" s="304"/>
      <c r="V74" s="304"/>
      <c r="W74" s="304"/>
      <c r="X74" s="304"/>
    </row>
    <row r="75" spans="1:24" ht="12.75">
      <c r="A75" s="995" t="s">
        <v>37</v>
      </c>
      <c r="B75" s="880"/>
      <c r="C75" s="880"/>
      <c r="D75" s="887" t="e">
        <f>IF('Intersection Tables'!$C$33="No",HLOOKUP($H$10,'Intersection Tables'!$B$35:$K$41,3,FALSE),HLOOKUP($H$10,'Intersection Tables'!$B$44:$K$50,3,FALSE))</f>
        <v>#N/A</v>
      </c>
      <c r="E75" s="950"/>
      <c r="F75" s="887" t="e">
        <f>+D75*$F$73</f>
        <v>#N/A</v>
      </c>
      <c r="G75" s="950"/>
      <c r="H75" s="887">
        <f>IF('Intersection Tables'!$C$33="No",IF($H$10="3ST",'Intersection Tables'!E37,IF($H$10="3SG",'Intersection Tables'!G37,IF($H$10="4ST",'Intersection Tables'!I37,'Intersection Tables'!K37))),IF($H$10="3ST",'Intersection Tables'!E46,IF($H$10="3SG",'Intersection Tables'!G46,IF($H$10="4ST",'Intersection Tables'!I46,'Intersection Tables'!K46))))</f>
        <v>0.483</v>
      </c>
      <c r="I75" s="950"/>
      <c r="J75" s="887" t="e">
        <f>+H75*$J$73</f>
        <v>#N/A</v>
      </c>
      <c r="K75" s="950"/>
      <c r="L75" s="998" t="e">
        <f>+F75+J75</f>
        <v>#N/A</v>
      </c>
      <c r="M75" s="998"/>
      <c r="N75" s="996"/>
      <c r="O75" s="155"/>
      <c r="P75" s="155"/>
      <c r="Q75" s="155"/>
      <c r="R75" s="155"/>
      <c r="S75" s="155"/>
      <c r="T75" s="155"/>
      <c r="U75" s="155"/>
      <c r="V75" s="155"/>
      <c r="W75" s="155"/>
      <c r="X75" s="155"/>
    </row>
    <row r="76" spans="1:24" ht="12.75">
      <c r="A76" s="981" t="s">
        <v>36</v>
      </c>
      <c r="B76" s="880"/>
      <c r="C76" s="880"/>
      <c r="D76" s="887" t="e">
        <f>IF('Intersection Tables'!$C$33="No",HLOOKUP($H$10,'Intersection Tables'!$B$35:$K$41,4,FALSE),HLOOKUP($H$10,'Intersection Tables'!$B$44:$K$50,4,FALSE))</f>
        <v>#N/A</v>
      </c>
      <c r="E76" s="950"/>
      <c r="F76" s="887" t="e">
        <f>+D76*$F$73</f>
        <v>#N/A</v>
      </c>
      <c r="G76" s="950"/>
      <c r="H76" s="887">
        <f>IF('Intersection Tables'!$C$33="No",IF($H$10="3ST",'Intersection Tables'!E38,IF($H$10="3SG",'Intersection Tables'!G38,IF($H$10="4ST",'Intersection Tables'!I38,'Intersection Tables'!K38))),IF($H$10="3ST",'Intersection Tables'!E47,IF($H$10="3SG",'Intersection Tables'!G47,IF($H$10="4ST",'Intersection Tables'!I47,'Intersection Tables'!K47))))</f>
        <v>0.03</v>
      </c>
      <c r="I76" s="950"/>
      <c r="J76" s="887" t="e">
        <f>+H76*$J$73</f>
        <v>#N/A</v>
      </c>
      <c r="K76" s="950"/>
      <c r="L76" s="998" t="e">
        <f>+F76+J76</f>
        <v>#N/A</v>
      </c>
      <c r="M76" s="998"/>
      <c r="N76" s="996"/>
      <c r="O76" s="155"/>
      <c r="P76" s="155"/>
      <c r="Q76" s="155"/>
      <c r="R76" s="155"/>
      <c r="S76" s="155"/>
      <c r="T76" s="155"/>
      <c r="U76" s="155"/>
      <c r="V76" s="155"/>
      <c r="W76" s="155"/>
      <c r="X76" s="155"/>
    </row>
    <row r="77" spans="1:24" ht="12.75">
      <c r="A77" s="981" t="s">
        <v>35</v>
      </c>
      <c r="B77" s="880"/>
      <c r="C77" s="880"/>
      <c r="D77" s="887" t="e">
        <f>IF('Intersection Tables'!$C$33="No",HLOOKUP($H$10,'Intersection Tables'!$B$35:$K$41,5,FALSE),HLOOKUP($H$10,'Intersection Tables'!$B$44:$K$50,5,FALSE))</f>
        <v>#N/A</v>
      </c>
      <c r="E77" s="950"/>
      <c r="F77" s="887" t="e">
        <f>+D77*$F$73</f>
        <v>#N/A</v>
      </c>
      <c r="G77" s="950"/>
      <c r="H77" s="887">
        <f>IF('Intersection Tables'!$C$33="No",IF($H$10="3ST",'Intersection Tables'!E39,IF($H$10="3SG",'Intersection Tables'!G39,IF($H$10="4ST",'Intersection Tables'!I39,'Intersection Tables'!K39))),IF($H$10="3ST",'Intersection Tables'!E48,IF($H$10="3SG",'Intersection Tables'!G48,IF($H$10="4ST",'Intersection Tables'!I48,'Intersection Tables'!K48))))</f>
        <v>0.244</v>
      </c>
      <c r="I77" s="950"/>
      <c r="J77" s="887" t="e">
        <f>+H77*$J$73</f>
        <v>#N/A</v>
      </c>
      <c r="K77" s="950"/>
      <c r="L77" s="998" t="e">
        <f>+F77+J77</f>
        <v>#N/A</v>
      </c>
      <c r="M77" s="998"/>
      <c r="N77" s="996"/>
      <c r="O77" s="155"/>
      <c r="P77" s="155"/>
      <c r="Q77" s="155"/>
      <c r="R77" s="155"/>
      <c r="S77" s="155"/>
      <c r="T77" s="155"/>
      <c r="U77" s="155"/>
      <c r="V77" s="155"/>
      <c r="W77" s="155"/>
      <c r="X77" s="155"/>
    </row>
    <row r="78" spans="1:24" ht="12.75">
      <c r="A78" s="981" t="s">
        <v>89</v>
      </c>
      <c r="B78" s="880"/>
      <c r="C78" s="880"/>
      <c r="D78" s="887" t="e">
        <f>IF('Intersection Tables'!$C$33="No",HLOOKUP($H$10,'Intersection Tables'!$B$35:$K$41,6,FALSE),HLOOKUP($H$10,'Intersection Tables'!$B$44:$K$50,6,FALSE))</f>
        <v>#N/A</v>
      </c>
      <c r="E78" s="950"/>
      <c r="F78" s="887" t="e">
        <f>+D78*$F$73</f>
        <v>#N/A</v>
      </c>
      <c r="G78" s="950"/>
      <c r="H78" s="887">
        <f>IF('Intersection Tables'!$C$33="No",IF($H$10="3ST",'Intersection Tables'!E40,IF($H$10="3SG",'Intersection Tables'!G40,IF($H$10="4ST",'Intersection Tables'!I40,'Intersection Tables'!K40))),IF($H$10="3ST",'Intersection Tables'!E49,IF($H$10="3SG",'Intersection Tables'!G49,IF($H$10="4ST",'Intersection Tables'!I49,'Intersection Tables'!K49))))</f>
        <v>0.032</v>
      </c>
      <c r="I78" s="950"/>
      <c r="J78" s="887" t="e">
        <f>+H78*$J$73</f>
        <v>#N/A</v>
      </c>
      <c r="K78" s="950"/>
      <c r="L78" s="998" t="e">
        <f>+F78+J78</f>
        <v>#N/A</v>
      </c>
      <c r="M78" s="998"/>
      <c r="N78" s="996"/>
      <c r="O78" s="155"/>
      <c r="P78" s="155"/>
      <c r="Q78" s="155"/>
      <c r="R78" s="155"/>
      <c r="S78" s="155"/>
      <c r="T78" s="155"/>
      <c r="U78" s="155"/>
      <c r="V78" s="155"/>
      <c r="W78" s="155"/>
      <c r="X78" s="155"/>
    </row>
    <row r="79" spans="1:24" ht="13.5" thickBot="1">
      <c r="A79" s="1001" t="s">
        <v>189</v>
      </c>
      <c r="B79" s="882"/>
      <c r="C79" s="882"/>
      <c r="D79" s="979" t="e">
        <f>IF('Intersection Tables'!$C$33="No",HLOOKUP($H$10,'Intersection Tables'!$B$35:$K$41,7,FALSE),HLOOKUP($H$10,'Intersection Tables'!$B$44:$K$50,7,FALSE))</f>
        <v>#N/A</v>
      </c>
      <c r="E79" s="980"/>
      <c r="F79" s="979" t="e">
        <f>+D79*$F$73</f>
        <v>#N/A</v>
      </c>
      <c r="G79" s="980"/>
      <c r="H79" s="979">
        <f>IF('Intersection Tables'!$C$33="No",IF($H$10="3ST",'Intersection Tables'!E41,IF($H$10="3SG",'Intersection Tables'!G41,IF($H$10="4ST",'Intersection Tables'!I41,'Intersection Tables'!K41))),IF($H$10="3ST",'Intersection Tables'!E50,IF($H$10="3SG",'Intersection Tables'!G50,IF($H$10="4ST",'Intersection Tables'!I50,'Intersection Tables'!K50))))</f>
        <v>0.211</v>
      </c>
      <c r="I79" s="980"/>
      <c r="J79" s="979" t="e">
        <f>+H79*$J$73</f>
        <v>#N/A</v>
      </c>
      <c r="K79" s="980"/>
      <c r="L79" s="965" t="e">
        <f>+F79+J79</f>
        <v>#N/A</v>
      </c>
      <c r="M79" s="965"/>
      <c r="N79" s="966"/>
      <c r="O79" s="155"/>
      <c r="P79" s="155"/>
      <c r="Q79" s="155"/>
      <c r="R79" s="155"/>
      <c r="S79" s="155"/>
      <c r="T79" s="155"/>
      <c r="U79" s="155"/>
      <c r="V79" s="155"/>
      <c r="W79" s="155"/>
      <c r="X79" s="155"/>
    </row>
    <row r="80" ht="12.75" customHeight="1"/>
    <row r="82" spans="1:14" ht="12.75">
      <c r="A82" s="1108" t="s">
        <v>597</v>
      </c>
      <c r="B82" s="1108"/>
      <c r="C82" s="1108"/>
      <c r="D82" s="1108"/>
      <c r="E82" s="1108"/>
      <c r="F82" s="1108"/>
      <c r="G82" s="1108"/>
      <c r="H82" s="1108"/>
      <c r="I82" s="1108"/>
      <c r="J82" s="1108"/>
      <c r="K82" s="1108"/>
      <c r="L82" s="1108"/>
      <c r="M82" s="1108"/>
      <c r="N82" s="1108"/>
    </row>
    <row r="83" spans="1:24" ht="13.5" thickBot="1">
      <c r="A83" s="1109"/>
      <c r="B83" s="1109"/>
      <c r="C83" s="1109"/>
      <c r="D83" s="1109"/>
      <c r="E83" s="1109"/>
      <c r="F83" s="1109"/>
      <c r="G83" s="1109"/>
      <c r="H83" s="1109"/>
      <c r="I83" s="1109"/>
      <c r="J83" s="1109"/>
      <c r="K83" s="1109"/>
      <c r="L83" s="1109"/>
      <c r="M83" s="1109"/>
      <c r="N83" s="1109"/>
      <c r="O83" s="134"/>
      <c r="P83" s="134"/>
      <c r="Q83" s="302"/>
      <c r="R83" s="302"/>
      <c r="S83" s="302"/>
      <c r="T83" s="302"/>
      <c r="U83" s="302"/>
      <c r="V83" s="302"/>
      <c r="W83" s="302"/>
      <c r="X83" s="302"/>
    </row>
    <row r="84" spans="1:24" ht="12.75">
      <c r="A84" s="891" t="s">
        <v>16</v>
      </c>
      <c r="B84" s="952"/>
      <c r="C84" s="926" t="s">
        <v>17</v>
      </c>
      <c r="D84" s="1147"/>
      <c r="E84" s="1148"/>
      <c r="F84" s="926" t="s">
        <v>18</v>
      </c>
      <c r="G84" s="1148"/>
      <c r="H84" s="139" t="s">
        <v>19</v>
      </c>
      <c r="I84" s="875" t="s">
        <v>20</v>
      </c>
      <c r="J84" s="952"/>
      <c r="K84" s="139" t="s">
        <v>21</v>
      </c>
      <c r="L84" s="139" t="s">
        <v>22</v>
      </c>
      <c r="M84" s="139" t="s">
        <v>23</v>
      </c>
      <c r="N84" s="140" t="s">
        <v>24</v>
      </c>
      <c r="O84" s="185"/>
      <c r="P84" s="185"/>
      <c r="Q84" s="303"/>
      <c r="R84" s="303"/>
      <c r="S84" s="303"/>
      <c r="T84" s="303"/>
      <c r="U84" s="303"/>
      <c r="V84" s="303"/>
      <c r="W84" s="303"/>
      <c r="X84" s="303"/>
    </row>
    <row r="85" spans="1:24" ht="12.75">
      <c r="A85" s="868" t="s">
        <v>28</v>
      </c>
      <c r="B85" s="1140"/>
      <c r="C85" s="1149" t="s">
        <v>82</v>
      </c>
      <c r="D85" s="1060"/>
      <c r="E85" s="1140"/>
      <c r="F85" s="867" t="s">
        <v>29</v>
      </c>
      <c r="G85" s="1140"/>
      <c r="H85" s="967" t="s">
        <v>574</v>
      </c>
      <c r="I85" s="877" t="s">
        <v>169</v>
      </c>
      <c r="J85" s="914"/>
      <c r="K85" s="877" t="s">
        <v>566</v>
      </c>
      <c r="L85" s="877" t="s">
        <v>30</v>
      </c>
      <c r="M85" s="877" t="s">
        <v>567</v>
      </c>
      <c r="N85" s="978" t="s">
        <v>575</v>
      </c>
      <c r="O85" s="171"/>
      <c r="P85" s="171"/>
      <c r="Q85" s="171"/>
      <c r="R85" s="171"/>
      <c r="S85" s="171"/>
      <c r="T85" s="171"/>
      <c r="U85" s="171"/>
      <c r="V85" s="171"/>
      <c r="W85" s="171"/>
      <c r="X85" s="171"/>
    </row>
    <row r="86" spans="1:24" ht="15.75" customHeight="1">
      <c r="A86" s="993"/>
      <c r="B86" s="1070"/>
      <c r="C86" s="1043"/>
      <c r="D86" s="1150"/>
      <c r="E86" s="1033"/>
      <c r="F86" s="1043"/>
      <c r="G86" s="1033"/>
      <c r="H86" s="1034"/>
      <c r="I86" s="914"/>
      <c r="J86" s="914"/>
      <c r="K86" s="914"/>
      <c r="L86" s="914"/>
      <c r="M86" s="914"/>
      <c r="N86" s="978"/>
      <c r="O86" s="171"/>
      <c r="P86" s="171"/>
      <c r="Q86" s="171"/>
      <c r="R86" s="171"/>
      <c r="S86" s="171"/>
      <c r="T86" s="171"/>
      <c r="U86" s="171"/>
      <c r="V86" s="171"/>
      <c r="W86" s="171"/>
      <c r="X86" s="171"/>
    </row>
    <row r="87" spans="1:24" ht="12.75">
      <c r="A87" s="993"/>
      <c r="B87" s="1070"/>
      <c r="C87" s="918" t="s">
        <v>403</v>
      </c>
      <c r="D87" s="1099"/>
      <c r="E87" s="879"/>
      <c r="F87" s="1141" t="s">
        <v>403</v>
      </c>
      <c r="G87" s="1031"/>
      <c r="H87" s="1035" t="s">
        <v>355</v>
      </c>
      <c r="I87" s="914"/>
      <c r="J87" s="914"/>
      <c r="K87" s="914" t="s">
        <v>512</v>
      </c>
      <c r="L87" s="914" t="s">
        <v>276</v>
      </c>
      <c r="M87" s="977"/>
      <c r="N87" s="873" t="s">
        <v>172</v>
      </c>
      <c r="O87" s="168"/>
      <c r="P87" s="168"/>
      <c r="Q87" s="168"/>
      <c r="R87" s="168"/>
      <c r="S87" s="168"/>
      <c r="T87" s="168"/>
      <c r="U87" s="168"/>
      <c r="V87" s="168"/>
      <c r="W87" s="168"/>
      <c r="X87" s="168"/>
    </row>
    <row r="88" spans="1:24" ht="12.75">
      <c r="A88" s="994"/>
      <c r="B88" s="1070"/>
      <c r="C88" s="929" t="s">
        <v>83</v>
      </c>
      <c r="D88" s="929" t="s">
        <v>84</v>
      </c>
      <c r="E88" s="929" t="s">
        <v>275</v>
      </c>
      <c r="F88" s="1061"/>
      <c r="G88" s="1151"/>
      <c r="H88" s="1055"/>
      <c r="I88" s="914"/>
      <c r="J88" s="914"/>
      <c r="K88" s="977"/>
      <c r="L88" s="914"/>
      <c r="M88" s="977"/>
      <c r="N88" s="873"/>
      <c r="O88" s="168"/>
      <c r="P88" s="168"/>
      <c r="Q88" s="168"/>
      <c r="R88" s="168"/>
      <c r="S88" s="168"/>
      <c r="T88" s="168"/>
      <c r="U88" s="168"/>
      <c r="V88" s="168"/>
      <c r="W88" s="168"/>
      <c r="X88" s="168"/>
    </row>
    <row r="89" spans="1:24" ht="12.75">
      <c r="A89" s="1150"/>
      <c r="B89" s="1033"/>
      <c r="C89" s="963"/>
      <c r="D89" s="963"/>
      <c r="E89" s="963"/>
      <c r="F89" s="1063"/>
      <c r="G89" s="1152"/>
      <c r="H89" s="1054"/>
      <c r="I89" s="170"/>
      <c r="J89" s="188"/>
      <c r="K89" s="169"/>
      <c r="L89" s="189"/>
      <c r="M89" s="169"/>
      <c r="N89" s="170"/>
      <c r="O89" s="168"/>
      <c r="P89" s="168"/>
      <c r="Q89" s="168"/>
      <c r="R89" s="168"/>
      <c r="S89" s="168"/>
      <c r="T89" s="168"/>
      <c r="U89" s="168"/>
      <c r="V89" s="168"/>
      <c r="W89" s="168"/>
      <c r="X89" s="168"/>
    </row>
    <row r="90" spans="1:24" ht="12.75">
      <c r="A90" s="879" t="s">
        <v>31</v>
      </c>
      <c r="B90" s="982"/>
      <c r="C90" s="143" t="e">
        <f>VLOOKUP($H$10,'Intersection Tables'!$I$9:$M$12,2,FALSE)</f>
        <v>#N/A</v>
      </c>
      <c r="D90" s="143" t="e">
        <f>VLOOKUP($H$10,'Intersection Tables'!$I$9:$M$12,3,FALSE)</f>
        <v>#N/A</v>
      </c>
      <c r="E90" s="143" t="e">
        <f>VLOOKUP($H$10,'Intersection Tables'!$I$9:$M$12,4,FALSE)</f>
        <v>#N/A</v>
      </c>
      <c r="F90" s="1067" t="e">
        <f>VLOOKUP($H$10,'Intersection Tables'!$I$9:$M$12,5,FALSE)</f>
        <v>#N/A</v>
      </c>
      <c r="G90" s="879"/>
      <c r="H90" s="144" t="e">
        <f>EXP(C90+(D90*LN($H$11))+(E90*LN($H$12)))</f>
        <v>#N/A</v>
      </c>
      <c r="I90" s="887">
        <v>1</v>
      </c>
      <c r="J90" s="950"/>
      <c r="K90" s="144" t="e">
        <f>H90*I90</f>
        <v>#N/A</v>
      </c>
      <c r="L90" s="143">
        <f>+M48</f>
        <v>0.9801</v>
      </c>
      <c r="M90" s="143">
        <f>+$H$14</f>
        <v>1</v>
      </c>
      <c r="N90" s="145" t="e">
        <f>+K90*L90*M90</f>
        <v>#N/A</v>
      </c>
      <c r="O90" s="155"/>
      <c r="P90" s="155"/>
      <c r="Q90" s="155"/>
      <c r="R90" s="155"/>
      <c r="S90" s="155"/>
      <c r="T90" s="155"/>
      <c r="U90" s="155"/>
      <c r="V90" s="155"/>
      <c r="W90" s="155"/>
      <c r="X90" s="155"/>
    </row>
    <row r="91" spans="1:24" ht="14.25">
      <c r="A91" s="1005" t="s">
        <v>32</v>
      </c>
      <c r="B91" s="1005"/>
      <c r="C91" s="970" t="e">
        <f>VLOOKUP($H$10,'Intersection Tables'!$I$14:$M$17,2,FALSE)</f>
        <v>#N/A</v>
      </c>
      <c r="D91" s="970" t="e">
        <f>VLOOKUP($H$10,'Intersection Tables'!$I$14:$M$17,3,FALSE)</f>
        <v>#N/A</v>
      </c>
      <c r="E91" s="970" t="e">
        <f>VLOOKUP($H$10,'Intersection Tables'!$I$14:$M$17,4,FALSE)</f>
        <v>#N/A</v>
      </c>
      <c r="F91" s="1154" t="e">
        <f>VLOOKUP($H$10,'Intersection Tables'!$I$14:$M$17,5,FALSE)</f>
        <v>#N/A</v>
      </c>
      <c r="G91" s="1031"/>
      <c r="H91" s="928" t="e">
        <f>IF(H10="3ST",H90*0.31,IF(H10="4ST",H90*0.28,(EXP(C91+(D91*LN($H$11))+(E91*LN($H$12))))))</f>
        <v>#N/A</v>
      </c>
      <c r="I91" s="878" t="s">
        <v>513</v>
      </c>
      <c r="J91" s="878"/>
      <c r="K91" s="928" t="e">
        <f>H90*I92</f>
        <v>#N/A</v>
      </c>
      <c r="L91" s="970">
        <f>+M48</f>
        <v>0.9801</v>
      </c>
      <c r="M91" s="970">
        <f>+$H$14</f>
        <v>1</v>
      </c>
      <c r="N91" s="972" t="e">
        <f>+K91*L91*M91</f>
        <v>#N/A</v>
      </c>
      <c r="O91" s="155"/>
      <c r="P91" s="155"/>
      <c r="Q91" s="155"/>
      <c r="R91" s="155"/>
      <c r="S91" s="155"/>
      <c r="T91" s="155"/>
      <c r="U91" s="155"/>
      <c r="V91" s="155"/>
      <c r="W91" s="155"/>
      <c r="X91" s="155"/>
    </row>
    <row r="92" spans="1:24" ht="12.75">
      <c r="A92" s="1006"/>
      <c r="B92" s="1006"/>
      <c r="C92" s="963"/>
      <c r="D92" s="963"/>
      <c r="E92" s="963"/>
      <c r="F92" s="1063"/>
      <c r="G92" s="1152"/>
      <c r="H92" s="963"/>
      <c r="I92" s="887" t="e">
        <f>+H91/(H91+H93)</f>
        <v>#N/A</v>
      </c>
      <c r="J92" s="950"/>
      <c r="K92" s="1009"/>
      <c r="L92" s="963"/>
      <c r="M92" s="963"/>
      <c r="N92" s="976"/>
      <c r="O92" s="155"/>
      <c r="P92" s="155"/>
      <c r="Q92" s="155"/>
      <c r="R92" s="155"/>
      <c r="S92" s="155"/>
      <c r="T92" s="155"/>
      <c r="U92" s="155"/>
      <c r="V92" s="155"/>
      <c r="W92" s="155"/>
      <c r="X92" s="155"/>
    </row>
    <row r="93" spans="1:24" ht="14.25">
      <c r="A93" s="1018" t="s">
        <v>33</v>
      </c>
      <c r="B93" s="1019"/>
      <c r="C93" s="1153" t="e">
        <f>VLOOKUP($H$10,'Intersection Tables'!$I$19:$M$22,2,FALSE)</f>
        <v>#N/A</v>
      </c>
      <c r="D93" s="970" t="e">
        <f>VLOOKUP($H$10,'Intersection Tables'!$I$19:$M$22,3,FALSE)</f>
        <v>#N/A</v>
      </c>
      <c r="E93" s="970" t="e">
        <f>VLOOKUP($H$10,'Intersection Tables'!$I$19:$M$22,4,FALSE)</f>
        <v>#N/A</v>
      </c>
      <c r="F93" s="1154" t="e">
        <f>VLOOKUP($H$10,'Intersection Tables'!$I$19:$M$22,5,FALSE)</f>
        <v>#N/A</v>
      </c>
      <c r="G93" s="1031"/>
      <c r="H93" s="1157" t="e">
        <f>EXP(C93+(D93*LN($H$11))+(E93*LN($H$12)))</f>
        <v>#N/A</v>
      </c>
      <c r="I93" s="878" t="s">
        <v>514</v>
      </c>
      <c r="J93" s="878"/>
      <c r="K93" s="928" t="e">
        <f>H90*I94</f>
        <v>#N/A</v>
      </c>
      <c r="L93" s="970">
        <f>+M48</f>
        <v>0.9801</v>
      </c>
      <c r="M93" s="970">
        <f>+$H$14</f>
        <v>1</v>
      </c>
      <c r="N93" s="972" t="e">
        <f>+K93*L93*M93</f>
        <v>#N/A</v>
      </c>
      <c r="O93" s="155"/>
      <c r="P93" s="155"/>
      <c r="Q93" s="155"/>
      <c r="R93" s="155"/>
      <c r="S93" s="155"/>
      <c r="T93" s="155"/>
      <c r="U93" s="155"/>
      <c r="V93" s="155"/>
      <c r="W93" s="155"/>
      <c r="X93" s="155"/>
    </row>
    <row r="94" spans="1:24" ht="13.5" thickBot="1">
      <c r="A94" s="881"/>
      <c r="B94" s="1020"/>
      <c r="C94" s="971"/>
      <c r="D94" s="971"/>
      <c r="E94" s="971"/>
      <c r="F94" s="1155"/>
      <c r="G94" s="1156"/>
      <c r="H94" s="971"/>
      <c r="I94" s="979" t="e">
        <f>I90-I92</f>
        <v>#N/A</v>
      </c>
      <c r="J94" s="980"/>
      <c r="K94" s="1011"/>
      <c r="L94" s="971"/>
      <c r="M94" s="971"/>
      <c r="N94" s="973"/>
      <c r="O94" s="155"/>
      <c r="P94" s="155"/>
      <c r="Q94" s="155"/>
      <c r="R94" s="155"/>
      <c r="S94" s="155"/>
      <c r="T94" s="155"/>
      <c r="U94" s="155"/>
      <c r="V94" s="155"/>
      <c r="W94" s="155"/>
      <c r="X94" s="155"/>
    </row>
    <row r="96" spans="6:7" ht="12.75">
      <c r="F96" s="148"/>
      <c r="G96" s="154"/>
    </row>
    <row r="97" spans="1:14" ht="12.75">
      <c r="A97" s="1108" t="s">
        <v>598</v>
      </c>
      <c r="B97" s="1108"/>
      <c r="C97" s="1108"/>
      <c r="D97" s="1108"/>
      <c r="E97" s="1108"/>
      <c r="F97" s="1108"/>
      <c r="G97" s="1108"/>
      <c r="H97" s="1108"/>
      <c r="I97" s="1108"/>
      <c r="J97" s="1108"/>
      <c r="K97" s="1108"/>
      <c r="L97" s="1108"/>
      <c r="M97" s="1108"/>
      <c r="N97" s="1108"/>
    </row>
    <row r="98" spans="1:24" ht="13.5" thickBot="1">
      <c r="A98" s="1109"/>
      <c r="B98" s="1109"/>
      <c r="C98" s="1109"/>
      <c r="D98" s="1109"/>
      <c r="E98" s="1109"/>
      <c r="F98" s="1109"/>
      <c r="G98" s="1109"/>
      <c r="H98" s="1109"/>
      <c r="I98" s="1109"/>
      <c r="J98" s="1109"/>
      <c r="K98" s="1109"/>
      <c r="L98" s="1109"/>
      <c r="M98" s="1109"/>
      <c r="N98" s="1109"/>
      <c r="O98" s="133"/>
      <c r="P98" s="133"/>
      <c r="Q98" s="304"/>
      <c r="R98" s="304"/>
      <c r="S98" s="304"/>
      <c r="T98" s="304"/>
      <c r="U98" s="304"/>
      <c r="V98" s="304"/>
      <c r="W98" s="304"/>
      <c r="X98" s="304"/>
    </row>
    <row r="99" spans="1:24" ht="12.75">
      <c r="A99" s="891" t="s">
        <v>16</v>
      </c>
      <c r="B99" s="952"/>
      <c r="C99" s="952"/>
      <c r="D99" s="875" t="s">
        <v>17</v>
      </c>
      <c r="E99" s="974"/>
      <c r="F99" s="875" t="s">
        <v>18</v>
      </c>
      <c r="G99" s="875"/>
      <c r="H99" s="875" t="s">
        <v>19</v>
      </c>
      <c r="I99" s="974"/>
      <c r="J99" s="875" t="s">
        <v>20</v>
      </c>
      <c r="K99" s="875"/>
      <c r="L99" s="875" t="s">
        <v>21</v>
      </c>
      <c r="M99" s="974"/>
      <c r="N99" s="975"/>
      <c r="O99" s="134"/>
      <c r="P99" s="134"/>
      <c r="Q99" s="302"/>
      <c r="R99" s="302"/>
      <c r="S99" s="302"/>
      <c r="T99" s="302"/>
      <c r="U99" s="302"/>
      <c r="V99" s="302"/>
      <c r="W99" s="302"/>
      <c r="X99" s="302"/>
    </row>
    <row r="100" spans="1:24" ht="12.75">
      <c r="A100" s="1000" t="s">
        <v>34</v>
      </c>
      <c r="B100" s="877"/>
      <c r="C100" s="880"/>
      <c r="D100" s="877" t="s">
        <v>515</v>
      </c>
      <c r="E100" s="878"/>
      <c r="F100" s="877" t="s">
        <v>576</v>
      </c>
      <c r="G100" s="877"/>
      <c r="H100" s="877" t="s">
        <v>517</v>
      </c>
      <c r="I100" s="878"/>
      <c r="J100" s="877" t="s">
        <v>577</v>
      </c>
      <c r="K100" s="877"/>
      <c r="L100" s="877" t="s">
        <v>578</v>
      </c>
      <c r="M100" s="877"/>
      <c r="N100" s="918"/>
      <c r="O100" s="133"/>
      <c r="P100" s="133"/>
      <c r="Q100" s="304"/>
      <c r="R100" s="304"/>
      <c r="S100" s="304"/>
      <c r="T100" s="304"/>
      <c r="U100" s="304"/>
      <c r="V100" s="304"/>
      <c r="W100" s="304"/>
      <c r="X100" s="304"/>
    </row>
    <row r="101" spans="1:24" ht="12.75">
      <c r="A101" s="1000"/>
      <c r="B101" s="877"/>
      <c r="C101" s="880"/>
      <c r="D101" s="878"/>
      <c r="E101" s="878"/>
      <c r="F101" s="878"/>
      <c r="G101" s="878"/>
      <c r="H101" s="878"/>
      <c r="I101" s="878"/>
      <c r="J101" s="878"/>
      <c r="K101" s="878"/>
      <c r="L101" s="878"/>
      <c r="M101" s="878"/>
      <c r="N101" s="918"/>
      <c r="O101" s="133"/>
      <c r="P101" s="133"/>
      <c r="Q101" s="304"/>
      <c r="R101" s="304"/>
      <c r="S101" s="304"/>
      <c r="T101" s="304"/>
      <c r="U101" s="304"/>
      <c r="V101" s="304"/>
      <c r="W101" s="304"/>
      <c r="X101" s="304"/>
    </row>
    <row r="102" spans="1:24" ht="12.75">
      <c r="A102" s="888"/>
      <c r="B102" s="878"/>
      <c r="C102" s="880"/>
      <c r="D102" s="878"/>
      <c r="E102" s="878"/>
      <c r="F102" s="878"/>
      <c r="G102" s="878"/>
      <c r="H102" s="878"/>
      <c r="I102" s="878"/>
      <c r="J102" s="878"/>
      <c r="K102" s="878"/>
      <c r="L102" s="878"/>
      <c r="M102" s="878"/>
      <c r="N102" s="918"/>
      <c r="O102" s="133"/>
      <c r="P102" s="133"/>
      <c r="Q102" s="304"/>
      <c r="R102" s="304"/>
      <c r="S102" s="304"/>
      <c r="T102" s="304"/>
      <c r="U102" s="304"/>
      <c r="V102" s="304"/>
      <c r="W102" s="304"/>
      <c r="X102" s="304"/>
    </row>
    <row r="103" spans="1:24" ht="12.75">
      <c r="A103" s="888"/>
      <c r="B103" s="878"/>
      <c r="C103" s="880"/>
      <c r="D103" s="914" t="s">
        <v>404</v>
      </c>
      <c r="E103" s="880"/>
      <c r="F103" s="953" t="s">
        <v>579</v>
      </c>
      <c r="G103" s="953"/>
      <c r="H103" s="914" t="s">
        <v>404</v>
      </c>
      <c r="I103" s="880"/>
      <c r="J103" s="953" t="s">
        <v>580</v>
      </c>
      <c r="K103" s="953"/>
      <c r="L103" s="953" t="s">
        <v>580</v>
      </c>
      <c r="M103" s="953"/>
      <c r="N103" s="982"/>
      <c r="O103" s="134"/>
      <c r="P103" s="134"/>
      <c r="Q103" s="302"/>
      <c r="R103" s="302"/>
      <c r="S103" s="302"/>
      <c r="T103" s="302"/>
      <c r="U103" s="302"/>
      <c r="V103" s="302"/>
      <c r="W103" s="302"/>
      <c r="X103" s="302"/>
    </row>
    <row r="104" spans="1:24" ht="12.75">
      <c r="A104" s="888"/>
      <c r="B104" s="878"/>
      <c r="C104" s="880"/>
      <c r="D104" s="878"/>
      <c r="E104" s="880"/>
      <c r="F104" s="878"/>
      <c r="G104" s="878"/>
      <c r="H104" s="878"/>
      <c r="I104" s="880"/>
      <c r="J104" s="878"/>
      <c r="K104" s="878"/>
      <c r="L104" s="878"/>
      <c r="M104" s="878"/>
      <c r="N104" s="982"/>
      <c r="O104" s="134"/>
      <c r="P104" s="134"/>
      <c r="Q104" s="302"/>
      <c r="R104" s="302"/>
      <c r="S104" s="302"/>
      <c r="T104" s="302"/>
      <c r="U104" s="302"/>
      <c r="V104" s="302"/>
      <c r="W104" s="302"/>
      <c r="X104" s="302"/>
    </row>
    <row r="105" spans="1:24" ht="12.75">
      <c r="A105" s="879" t="s">
        <v>31</v>
      </c>
      <c r="B105" s="880"/>
      <c r="C105" s="880"/>
      <c r="D105" s="998">
        <v>1</v>
      </c>
      <c r="E105" s="998"/>
      <c r="F105" s="996" t="e">
        <f>+N91</f>
        <v>#N/A</v>
      </c>
      <c r="G105" s="999"/>
      <c r="H105" s="998">
        <v>1</v>
      </c>
      <c r="I105" s="998"/>
      <c r="J105" s="887" t="e">
        <f>+N93</f>
        <v>#N/A</v>
      </c>
      <c r="K105" s="888"/>
      <c r="L105" s="996" t="e">
        <f>+N90</f>
        <v>#N/A</v>
      </c>
      <c r="M105" s="997"/>
      <c r="N105" s="997"/>
      <c r="O105" s="133"/>
      <c r="P105" s="133"/>
      <c r="Q105" s="304"/>
      <c r="R105" s="304"/>
      <c r="S105" s="304"/>
      <c r="T105" s="304"/>
      <c r="U105" s="304"/>
      <c r="V105" s="304"/>
      <c r="W105" s="304"/>
      <c r="X105" s="304"/>
    </row>
    <row r="106" spans="1:24" ht="13.5" customHeight="1">
      <c r="A106" s="879"/>
      <c r="B106" s="880"/>
      <c r="C106" s="880"/>
      <c r="D106" s="880"/>
      <c r="E106" s="880"/>
      <c r="F106" s="919" t="s">
        <v>523</v>
      </c>
      <c r="G106" s="878"/>
      <c r="H106" s="880"/>
      <c r="I106" s="880"/>
      <c r="J106" s="919" t="s">
        <v>524</v>
      </c>
      <c r="K106" s="878"/>
      <c r="L106" s="919" t="s">
        <v>183</v>
      </c>
      <c r="M106" s="878"/>
      <c r="N106" s="918"/>
      <c r="O106" s="133"/>
      <c r="P106" s="133"/>
      <c r="Q106" s="304"/>
      <c r="R106" s="304"/>
      <c r="S106" s="304"/>
      <c r="T106" s="304"/>
      <c r="U106" s="304"/>
      <c r="V106" s="304"/>
      <c r="W106" s="304"/>
      <c r="X106" s="304"/>
    </row>
    <row r="107" spans="1:24" ht="13.5" customHeight="1">
      <c r="A107" s="995" t="s">
        <v>277</v>
      </c>
      <c r="B107" s="880"/>
      <c r="C107" s="880"/>
      <c r="D107" s="887" t="e">
        <f>IF('Intersection Tables'!$C$56="No",HLOOKUP($H$10,'Intersection Tables'!$B$58:$K$65,3,FALSE),HLOOKUP($H$10,'Intersection Tables'!$B$68:$K$75,3,FALSE))</f>
        <v>#N/A</v>
      </c>
      <c r="E107" s="950"/>
      <c r="F107" s="887" t="e">
        <f aca="true" t="shared" si="0" ref="F107:F112">+D107*$F$105</f>
        <v>#N/A</v>
      </c>
      <c r="G107" s="950"/>
      <c r="H107" s="887">
        <f>IF('Intersection Tables'!$C$56="No",IF($H$10="3ST",'Intersection Tables'!E60,IF($H$10="3SG",'Intersection Tables'!G60,IF($H$10="4ST",'Intersection Tables'!I60,'Intersection Tables'!K60))),IF($H$10="3ST",'Intersection Tables'!E70,IF($H$10="3SG",'Intersection Tables'!G70,IF($H$10="4ST",'Intersection Tables'!I70,'Intersection Tables'!K70))))</f>
        <v>0.001</v>
      </c>
      <c r="I107" s="950"/>
      <c r="J107" s="887" t="e">
        <f aca="true" t="shared" si="1" ref="J107:J112">+H107*$J$105</f>
        <v>#N/A</v>
      </c>
      <c r="K107" s="950"/>
      <c r="L107" s="998" t="e">
        <f aca="true" t="shared" si="2" ref="L107:L112">+F107+J107</f>
        <v>#N/A</v>
      </c>
      <c r="M107" s="998"/>
      <c r="N107" s="996"/>
      <c r="O107" s="155"/>
      <c r="P107" s="155"/>
      <c r="Q107" s="155"/>
      <c r="R107" s="155"/>
      <c r="S107" s="155"/>
      <c r="T107" s="155"/>
      <c r="U107" s="155"/>
      <c r="V107" s="155"/>
      <c r="W107" s="155"/>
      <c r="X107" s="155"/>
    </row>
    <row r="108" spans="1:24" ht="13.5" customHeight="1">
      <c r="A108" s="981" t="s">
        <v>192</v>
      </c>
      <c r="B108" s="880"/>
      <c r="C108" s="880"/>
      <c r="D108" s="887" t="e">
        <f>IF('Intersection Tables'!$C$56="No",HLOOKUP($H$10,'Intersection Tables'!$B$58:$K$65,4,FALSE),HLOOKUP($H$10,'Intersection Tables'!$B$68:$K$75,4,FALSE))</f>
        <v>#N/A</v>
      </c>
      <c r="E108" s="950"/>
      <c r="F108" s="887" t="e">
        <f t="shared" si="0"/>
        <v>#N/A</v>
      </c>
      <c r="G108" s="950"/>
      <c r="H108" s="887">
        <f>IF('Intersection Tables'!$C$56="No",IF($H$10="3ST",'Intersection Tables'!E61,IF($H$10="3SG",'Intersection Tables'!G61,IF($H$10="4ST",'Intersection Tables'!I61,'Intersection Tables'!K61))),IF($H$10="3ST",'Intersection Tables'!E71,IF($H$10="3SG",'Intersection Tables'!G71,IF($H$10="4ST",'Intersection Tables'!I71,'Intersection Tables'!K71))))</f>
        <v>0.002</v>
      </c>
      <c r="I108" s="950"/>
      <c r="J108" s="887" t="e">
        <f t="shared" si="1"/>
        <v>#N/A</v>
      </c>
      <c r="K108" s="950"/>
      <c r="L108" s="998" t="e">
        <f t="shared" si="2"/>
        <v>#N/A</v>
      </c>
      <c r="M108" s="998"/>
      <c r="N108" s="996"/>
      <c r="O108" s="155"/>
      <c r="P108" s="155"/>
      <c r="Q108" s="155"/>
      <c r="R108" s="155"/>
      <c r="S108" s="155"/>
      <c r="T108" s="155"/>
      <c r="U108" s="155"/>
      <c r="V108" s="155"/>
      <c r="W108" s="155"/>
      <c r="X108" s="155"/>
    </row>
    <row r="109" spans="1:24" ht="13.5" customHeight="1">
      <c r="A109" s="981" t="s">
        <v>193</v>
      </c>
      <c r="B109" s="880"/>
      <c r="C109" s="880"/>
      <c r="D109" s="887" t="e">
        <f>IF('Intersection Tables'!$C$56="No",HLOOKUP($H$10,'Intersection Tables'!$B$58:$K$65,5,FALSE),HLOOKUP($H$10,'Intersection Tables'!$B$68:$K$75,5,FALSE))</f>
        <v>#N/A</v>
      </c>
      <c r="E109" s="950"/>
      <c r="F109" s="887" t="e">
        <f t="shared" si="0"/>
        <v>#N/A</v>
      </c>
      <c r="G109" s="950"/>
      <c r="H109" s="887">
        <f>IF('Intersection Tables'!$C$56="No",IF($H$10="3ST",'Intersection Tables'!E62,IF($H$10="3SG",'Intersection Tables'!G62,IF($H$10="4ST",'Intersection Tables'!I62,'Intersection Tables'!K62))),IF($H$10="3ST",'Intersection Tables'!E72,IF($H$10="3SG",'Intersection Tables'!G72,IF($H$10="4ST",'Intersection Tables'!I72,'Intersection Tables'!K72))))</f>
        <v>0.87</v>
      </c>
      <c r="I109" s="950"/>
      <c r="J109" s="887" t="e">
        <f t="shared" si="1"/>
        <v>#N/A</v>
      </c>
      <c r="K109" s="950"/>
      <c r="L109" s="998" t="e">
        <f t="shared" si="2"/>
        <v>#N/A</v>
      </c>
      <c r="M109" s="998"/>
      <c r="N109" s="996"/>
      <c r="O109" s="155"/>
      <c r="P109" s="155"/>
      <c r="Q109" s="155"/>
      <c r="R109" s="155"/>
      <c r="S109" s="155"/>
      <c r="T109" s="155"/>
      <c r="U109" s="155"/>
      <c r="V109" s="155"/>
      <c r="W109" s="155"/>
      <c r="X109" s="155"/>
    </row>
    <row r="110" spans="1:24" ht="13.5" customHeight="1">
      <c r="A110" s="981" t="s">
        <v>194</v>
      </c>
      <c r="B110" s="880"/>
      <c r="C110" s="880"/>
      <c r="D110" s="887" t="e">
        <f>IF('Intersection Tables'!$C$56="No",HLOOKUP($H$10,'Intersection Tables'!$B$58:$K$65,6,FALSE),HLOOKUP($H$10,'Intersection Tables'!$B$68:$K$75,6,FALSE))</f>
        <v>#N/A</v>
      </c>
      <c r="E110" s="950"/>
      <c r="F110" s="887" t="e">
        <f t="shared" si="0"/>
        <v>#N/A</v>
      </c>
      <c r="G110" s="950"/>
      <c r="H110" s="887">
        <f>IF('Intersection Tables'!$C$56="No",IF($H$10="3ST",'Intersection Tables'!E63,IF($H$10="3SG",'Intersection Tables'!G63,IF($H$10="4ST",'Intersection Tables'!I63,'Intersection Tables'!K63))),IF($H$10="3ST",'Intersection Tables'!E73,IF($H$10="3SG",'Intersection Tables'!G73,IF($H$10="4ST",'Intersection Tables'!I73,'Intersection Tables'!K73))))</f>
        <v>0.07</v>
      </c>
      <c r="I110" s="950"/>
      <c r="J110" s="887" t="e">
        <f t="shared" si="1"/>
        <v>#N/A</v>
      </c>
      <c r="K110" s="950"/>
      <c r="L110" s="998" t="e">
        <f t="shared" si="2"/>
        <v>#N/A</v>
      </c>
      <c r="M110" s="998"/>
      <c r="N110" s="996"/>
      <c r="O110" s="155"/>
      <c r="P110" s="155"/>
      <c r="Q110" s="155"/>
      <c r="R110" s="155"/>
      <c r="S110" s="155"/>
      <c r="T110" s="155"/>
      <c r="U110" s="155"/>
      <c r="V110" s="155"/>
      <c r="W110" s="155"/>
      <c r="X110" s="155"/>
    </row>
    <row r="111" spans="1:24" ht="12.75">
      <c r="A111" s="981" t="s">
        <v>195</v>
      </c>
      <c r="B111" s="880"/>
      <c r="C111" s="880"/>
      <c r="D111" s="887" t="e">
        <f>IF('Intersection Tables'!$C$56="No",HLOOKUP($H$10,'Intersection Tables'!$B$58:$K$65,7,FALSE),HLOOKUP($H$10,'Intersection Tables'!$B$68:$K$75,7,FALSE))</f>
        <v>#N/A</v>
      </c>
      <c r="E111" s="950"/>
      <c r="F111" s="887" t="e">
        <f t="shared" si="0"/>
        <v>#N/A</v>
      </c>
      <c r="G111" s="950"/>
      <c r="H111" s="887">
        <f>IF('Intersection Tables'!$C$56="No",IF($H$10="3ST",'Intersection Tables'!E64,IF($H$10="3SG",'Intersection Tables'!G64,IF($H$10="4ST",'Intersection Tables'!I64,'Intersection Tables'!K64))),IF($H$10="3ST",'Intersection Tables'!E74,IF($H$10="3SG",'Intersection Tables'!G74,IF($H$10="4ST",'Intersection Tables'!I74,'Intersection Tables'!K74))))</f>
        <v>0.023</v>
      </c>
      <c r="I111" s="950"/>
      <c r="J111" s="887" t="e">
        <f t="shared" si="1"/>
        <v>#N/A</v>
      </c>
      <c r="K111" s="950"/>
      <c r="L111" s="998" t="e">
        <f t="shared" si="2"/>
        <v>#N/A</v>
      </c>
      <c r="M111" s="998"/>
      <c r="N111" s="996"/>
      <c r="O111" s="155"/>
      <c r="P111" s="155"/>
      <c r="Q111" s="155"/>
      <c r="R111" s="155"/>
      <c r="S111" s="155"/>
      <c r="T111" s="155"/>
      <c r="U111" s="155"/>
      <c r="V111" s="155"/>
      <c r="W111" s="155"/>
      <c r="X111" s="155"/>
    </row>
    <row r="112" spans="1:24" ht="13.5" thickBot="1">
      <c r="A112" s="1001" t="s">
        <v>278</v>
      </c>
      <c r="B112" s="882"/>
      <c r="C112" s="882"/>
      <c r="D112" s="979" t="e">
        <f>IF('Intersection Tables'!$C$56="No",HLOOKUP($H$10,'Intersection Tables'!$B$58:$K$65,8,FALSE),HLOOKUP($H$10,'Intersection Tables'!$B$68:$K$75,8,FALSE))</f>
        <v>#N/A</v>
      </c>
      <c r="E112" s="980"/>
      <c r="F112" s="979" t="e">
        <f t="shared" si="0"/>
        <v>#N/A</v>
      </c>
      <c r="G112" s="980"/>
      <c r="H112" s="979">
        <f>IF('Intersection Tables'!$C$56="No",IF($H$10="3ST",'Intersection Tables'!E65,IF($H$10="3SG",'Intersection Tables'!G65,IF($H$10="4ST",'Intersection Tables'!I65,'Intersection Tables'!K65))),IF($H$10="3ST",'Intersection Tables'!E75,IF($H$10="3SG",'Intersection Tables'!G75,IF($H$10="4ST",'Intersection Tables'!I75,'Intersection Tables'!K75))))</f>
        <v>0.034</v>
      </c>
      <c r="I112" s="980"/>
      <c r="J112" s="979" t="e">
        <f t="shared" si="1"/>
        <v>#N/A</v>
      </c>
      <c r="K112" s="980"/>
      <c r="L112" s="965" t="e">
        <f t="shared" si="2"/>
        <v>#N/A</v>
      </c>
      <c r="M112" s="965"/>
      <c r="N112" s="966"/>
      <c r="O112" s="155"/>
      <c r="P112" s="155"/>
      <c r="Q112" s="155"/>
      <c r="R112" s="155"/>
      <c r="S112" s="155"/>
      <c r="T112" s="155"/>
      <c r="U112" s="155"/>
      <c r="V112" s="155"/>
      <c r="W112" s="155"/>
      <c r="X112" s="155"/>
    </row>
    <row r="115" spans="1:14" ht="12.75">
      <c r="A115" s="1108" t="s">
        <v>599</v>
      </c>
      <c r="B115" s="1108"/>
      <c r="C115" s="1108"/>
      <c r="D115" s="1108"/>
      <c r="E115" s="1108"/>
      <c r="F115" s="1108"/>
      <c r="G115" s="1108"/>
      <c r="H115" s="1108"/>
      <c r="I115" s="1108"/>
      <c r="J115" s="1108"/>
      <c r="K115" s="1108"/>
      <c r="L115" s="1108"/>
      <c r="M115" s="1108"/>
      <c r="N115" s="1108"/>
    </row>
    <row r="116" spans="1:24" ht="13.5" thickBot="1">
      <c r="A116" s="1109"/>
      <c r="B116" s="1109"/>
      <c r="C116" s="1109"/>
      <c r="D116" s="1109"/>
      <c r="E116" s="1109"/>
      <c r="F116" s="1109"/>
      <c r="G116" s="1109"/>
      <c r="H116" s="1109"/>
      <c r="I116" s="1109"/>
      <c r="J116" s="1109"/>
      <c r="K116" s="1109"/>
      <c r="L116" s="1109"/>
      <c r="M116" s="1109"/>
      <c r="N116" s="1109"/>
      <c r="O116" s="133"/>
      <c r="P116" s="133"/>
      <c r="Q116" s="304"/>
      <c r="R116" s="304"/>
      <c r="S116" s="304"/>
      <c r="T116" s="304"/>
      <c r="U116" s="304"/>
      <c r="V116" s="304"/>
      <c r="W116" s="304"/>
      <c r="X116" s="304"/>
    </row>
    <row r="117" spans="1:24" ht="12.75">
      <c r="A117" s="891" t="s">
        <v>16</v>
      </c>
      <c r="B117" s="952"/>
      <c r="C117" s="952"/>
      <c r="D117" s="875" t="s">
        <v>17</v>
      </c>
      <c r="E117" s="875"/>
      <c r="F117" s="875" t="s">
        <v>18</v>
      </c>
      <c r="G117" s="875"/>
      <c r="H117" s="139" t="s">
        <v>19</v>
      </c>
      <c r="I117" s="875" t="s">
        <v>20</v>
      </c>
      <c r="J117" s="875"/>
      <c r="K117" s="875" t="s">
        <v>21</v>
      </c>
      <c r="L117" s="875"/>
      <c r="M117" s="875" t="s">
        <v>22</v>
      </c>
      <c r="N117" s="876"/>
      <c r="O117" s="185"/>
      <c r="P117" s="185"/>
      <c r="Q117" s="303"/>
      <c r="R117" s="303"/>
      <c r="S117" s="303"/>
      <c r="T117" s="303"/>
      <c r="U117" s="303"/>
      <c r="V117" s="303"/>
      <c r="W117" s="303"/>
      <c r="X117" s="303"/>
    </row>
    <row r="118" spans="1:24" ht="12.75" customHeight="1">
      <c r="A118" s="915" t="s">
        <v>28</v>
      </c>
      <c r="B118" s="977"/>
      <c r="C118" s="977"/>
      <c r="D118" s="917" t="s">
        <v>568</v>
      </c>
      <c r="E118" s="917"/>
      <c r="F118" s="917" t="s">
        <v>575</v>
      </c>
      <c r="G118" s="917"/>
      <c r="H118" s="877" t="s">
        <v>581</v>
      </c>
      <c r="I118" s="877" t="s">
        <v>582</v>
      </c>
      <c r="J118" s="877"/>
      <c r="K118" s="877" t="s">
        <v>583</v>
      </c>
      <c r="L118" s="877"/>
      <c r="M118" s="877" t="s">
        <v>584</v>
      </c>
      <c r="N118" s="978"/>
      <c r="O118" s="171"/>
      <c r="P118" s="171"/>
      <c r="Q118" s="171"/>
      <c r="R118" s="171"/>
      <c r="S118" s="171"/>
      <c r="T118" s="171"/>
      <c r="U118" s="171"/>
      <c r="V118" s="171"/>
      <c r="W118" s="171"/>
      <c r="X118" s="171"/>
    </row>
    <row r="119" spans="1:24" ht="12.75">
      <c r="A119" s="1018"/>
      <c r="B119" s="977"/>
      <c r="C119" s="977"/>
      <c r="D119" s="917"/>
      <c r="E119" s="917"/>
      <c r="F119" s="917"/>
      <c r="G119" s="917"/>
      <c r="H119" s="877"/>
      <c r="I119" s="877"/>
      <c r="J119" s="877"/>
      <c r="K119" s="877"/>
      <c r="L119" s="877"/>
      <c r="M119" s="877"/>
      <c r="N119" s="978"/>
      <c r="O119" s="171"/>
      <c r="P119" s="171"/>
      <c r="Q119" s="171"/>
      <c r="R119" s="171"/>
      <c r="S119" s="171"/>
      <c r="T119" s="171"/>
      <c r="U119" s="171"/>
      <c r="V119" s="171"/>
      <c r="W119" s="171"/>
      <c r="X119" s="171"/>
    </row>
    <row r="120" spans="1:24" ht="12.75" customHeight="1">
      <c r="A120" s="1018"/>
      <c r="B120" s="977"/>
      <c r="C120" s="977"/>
      <c r="D120" s="914" t="s">
        <v>279</v>
      </c>
      <c r="E120" s="914"/>
      <c r="F120" s="914" t="s">
        <v>280</v>
      </c>
      <c r="G120" s="914"/>
      <c r="H120" s="914" t="s">
        <v>585</v>
      </c>
      <c r="I120" s="914" t="s">
        <v>405</v>
      </c>
      <c r="J120" s="880"/>
      <c r="K120" s="914"/>
      <c r="L120" s="914"/>
      <c r="M120" s="914" t="s">
        <v>206</v>
      </c>
      <c r="N120" s="873"/>
      <c r="O120" s="168"/>
      <c r="P120" s="168"/>
      <c r="Q120" s="168"/>
      <c r="R120" s="168"/>
      <c r="S120" s="168"/>
      <c r="T120" s="168"/>
      <c r="U120" s="168"/>
      <c r="V120" s="168"/>
      <c r="W120" s="168"/>
      <c r="X120" s="168"/>
    </row>
    <row r="121" spans="1:24" ht="12.75">
      <c r="A121" s="1018"/>
      <c r="B121" s="977"/>
      <c r="C121" s="977"/>
      <c r="D121" s="914"/>
      <c r="E121" s="914"/>
      <c r="F121" s="914"/>
      <c r="G121" s="914"/>
      <c r="H121" s="914"/>
      <c r="I121" s="878"/>
      <c r="J121" s="880"/>
      <c r="K121" s="914"/>
      <c r="L121" s="914"/>
      <c r="M121" s="914"/>
      <c r="N121" s="873"/>
      <c r="O121" s="168"/>
      <c r="P121" s="168"/>
      <c r="Q121" s="168"/>
      <c r="R121" s="168"/>
      <c r="S121" s="168"/>
      <c r="T121" s="168"/>
      <c r="U121" s="168"/>
      <c r="V121" s="168"/>
      <c r="W121" s="168"/>
      <c r="X121" s="168"/>
    </row>
    <row r="122" spans="1:24" ht="12.75">
      <c r="A122" s="879" t="s">
        <v>31</v>
      </c>
      <c r="B122" s="880"/>
      <c r="C122" s="880"/>
      <c r="D122" s="887" t="e">
        <f>IF($H$10="3SG","--",IF($H$10="4SG","--",N58))</f>
        <v>#N/A</v>
      </c>
      <c r="E122" s="888"/>
      <c r="F122" s="887" t="e">
        <f>IF($H$10="3SG","--",IF($H$10="4SG","--",N90))</f>
        <v>#N/A</v>
      </c>
      <c r="G122" s="888"/>
      <c r="H122" s="144" t="e">
        <f>IF($H$10="3SG","--",IF($H$10="4SG","--",(D122+F122)))</f>
        <v>#N/A</v>
      </c>
      <c r="I122" s="887" t="str">
        <f>IF(H10="3ST",0.021,IF(H10="4ST",0.022,"--"))</f>
        <v>--</v>
      </c>
      <c r="J122" s="950"/>
      <c r="K122" s="1067">
        <f>+$H$14</f>
        <v>1</v>
      </c>
      <c r="L122" s="888"/>
      <c r="M122" s="887" t="e">
        <f>IF(H10="3SG","--",IF(H10="4SG","--",$H$122*$I$122*$K$122))</f>
        <v>#N/A</v>
      </c>
      <c r="N122" s="1068"/>
      <c r="O122" s="155"/>
      <c r="P122" s="155"/>
      <c r="Q122" s="155"/>
      <c r="R122" s="155"/>
      <c r="S122" s="155"/>
      <c r="T122" s="155"/>
      <c r="U122" s="155"/>
      <c r="V122" s="155"/>
      <c r="W122" s="155"/>
      <c r="X122" s="155"/>
    </row>
    <row r="123" spans="1:24" ht="13.5" thickBot="1">
      <c r="A123" s="881" t="s">
        <v>110</v>
      </c>
      <c r="B123" s="882"/>
      <c r="C123" s="882"/>
      <c r="D123" s="948" t="s">
        <v>14</v>
      </c>
      <c r="E123" s="949"/>
      <c r="F123" s="948" t="s">
        <v>14</v>
      </c>
      <c r="G123" s="949"/>
      <c r="H123" s="190" t="s">
        <v>14</v>
      </c>
      <c r="I123" s="948" t="s">
        <v>14</v>
      </c>
      <c r="J123" s="949"/>
      <c r="K123" s="1037">
        <f>+$H$14</f>
        <v>1</v>
      </c>
      <c r="L123" s="949"/>
      <c r="M123" s="979" t="e">
        <f>+M122</f>
        <v>#N/A</v>
      </c>
      <c r="N123" s="1077"/>
      <c r="O123" s="155"/>
      <c r="P123" s="155"/>
      <c r="Q123" s="155"/>
      <c r="R123" s="155"/>
      <c r="S123" s="155"/>
      <c r="T123" s="155"/>
      <c r="U123" s="155"/>
      <c r="V123" s="155"/>
      <c r="W123" s="155"/>
      <c r="X123" s="155"/>
    </row>
    <row r="126" spans="2:25" ht="12.75">
      <c r="B126" s="1108" t="s">
        <v>600</v>
      </c>
      <c r="C126" s="1108"/>
      <c r="D126" s="1108"/>
      <c r="E126" s="1108"/>
      <c r="F126" s="1108"/>
      <c r="G126" s="1108"/>
      <c r="H126" s="1108"/>
      <c r="I126" s="1108"/>
      <c r="J126" s="1108"/>
      <c r="K126" s="1108"/>
      <c r="L126" s="1108"/>
      <c r="M126" s="1108"/>
      <c r="N126" s="154"/>
      <c r="O126" s="134"/>
      <c r="P126" s="134"/>
      <c r="Q126" s="302"/>
      <c r="R126" s="302"/>
      <c r="S126" s="302"/>
      <c r="T126" s="302"/>
      <c r="U126" s="302"/>
      <c r="V126" s="302"/>
      <c r="W126" s="302"/>
      <c r="X126" s="302"/>
      <c r="Y126" s="154"/>
    </row>
    <row r="127" spans="2:25" ht="14.25" customHeight="1" thickBot="1">
      <c r="B127" s="1109"/>
      <c r="C127" s="1109"/>
      <c r="D127" s="1109"/>
      <c r="E127" s="1109"/>
      <c r="F127" s="1109"/>
      <c r="G127" s="1109"/>
      <c r="H127" s="1109"/>
      <c r="I127" s="1109"/>
      <c r="J127" s="1109"/>
      <c r="K127" s="1109"/>
      <c r="L127" s="1109"/>
      <c r="M127" s="1109"/>
      <c r="N127" s="137"/>
      <c r="O127" s="133"/>
      <c r="P127" s="133"/>
      <c r="Q127" s="304"/>
      <c r="R127" s="304"/>
      <c r="S127" s="304"/>
      <c r="T127" s="304"/>
      <c r="U127" s="304"/>
      <c r="V127" s="304"/>
      <c r="W127" s="304"/>
      <c r="X127" s="304"/>
      <c r="Y127" s="137"/>
    </row>
    <row r="128" spans="2:13" ht="12.75">
      <c r="B128" s="891" t="s">
        <v>16</v>
      </c>
      <c r="C128" s="952"/>
      <c r="D128" s="952"/>
      <c r="E128" s="891" t="s">
        <v>17</v>
      </c>
      <c r="F128" s="952"/>
      <c r="G128" s="952"/>
      <c r="H128" s="891" t="s">
        <v>18</v>
      </c>
      <c r="I128" s="952"/>
      <c r="J128" s="952"/>
      <c r="K128" s="875" t="s">
        <v>19</v>
      </c>
      <c r="L128" s="952"/>
      <c r="M128" s="975"/>
    </row>
    <row r="129" spans="2:13" ht="12.75">
      <c r="B129" s="888" t="s">
        <v>281</v>
      </c>
      <c r="C129" s="878"/>
      <c r="D129" s="878"/>
      <c r="E129" s="878" t="s">
        <v>282</v>
      </c>
      <c r="F129" s="878"/>
      <c r="G129" s="878"/>
      <c r="H129" s="878" t="s">
        <v>283</v>
      </c>
      <c r="I129" s="878"/>
      <c r="J129" s="878"/>
      <c r="K129" s="914" t="s">
        <v>77</v>
      </c>
      <c r="L129" s="914"/>
      <c r="M129" s="873"/>
    </row>
    <row r="130" spans="2:13" ht="14.25">
      <c r="B130" s="888" t="s">
        <v>586</v>
      </c>
      <c r="C130" s="878"/>
      <c r="D130" s="878"/>
      <c r="E130" s="878" t="s">
        <v>587</v>
      </c>
      <c r="F130" s="878"/>
      <c r="G130" s="878"/>
      <c r="H130" s="878" t="s">
        <v>588</v>
      </c>
      <c r="I130" s="878"/>
      <c r="J130" s="878"/>
      <c r="K130" s="914"/>
      <c r="L130" s="914"/>
      <c r="M130" s="873"/>
    </row>
    <row r="131" spans="2:13" ht="12.75">
      <c r="B131" s="888" t="s">
        <v>406</v>
      </c>
      <c r="C131" s="878"/>
      <c r="D131" s="878"/>
      <c r="E131" s="878" t="s">
        <v>407</v>
      </c>
      <c r="F131" s="878"/>
      <c r="G131" s="878"/>
      <c r="H131" s="878" t="s">
        <v>408</v>
      </c>
      <c r="I131" s="878"/>
      <c r="J131" s="878"/>
      <c r="K131" s="878" t="s">
        <v>284</v>
      </c>
      <c r="L131" s="878"/>
      <c r="M131" s="918"/>
    </row>
    <row r="132" spans="2:13" ht="13.5" thickBot="1">
      <c r="B132" s="1163">
        <f>IF($H$10="3ST","--",IF($H$10="4ST","--",IF($H$30=0,1,IF($H$30="1 or 2",2.78,4.15))))</f>
        <v>1</v>
      </c>
      <c r="C132" s="884"/>
      <c r="D132" s="884"/>
      <c r="E132" s="884">
        <f>IF($H$10="3ST","--",IF($H$10="4ST","--",IF($H$31="Present",1.35,1)))</f>
        <v>1</v>
      </c>
      <c r="F132" s="884"/>
      <c r="G132" s="884"/>
      <c r="H132" s="884">
        <f>IF(H10="3ST","--",IF(H10="4ST","--",IF(H32=0,1,IF(H32="1 to 8",1.12,1.56))))</f>
        <v>1</v>
      </c>
      <c r="I132" s="884"/>
      <c r="J132" s="884"/>
      <c r="K132" s="884">
        <f>IF(H10="3ST","--",IF(H10="4ST","--",B132*E132*H132))</f>
        <v>1</v>
      </c>
      <c r="L132" s="884"/>
      <c r="M132" s="1037"/>
    </row>
    <row r="135" spans="1:14" ht="12.75">
      <c r="A135" s="1108" t="s">
        <v>601</v>
      </c>
      <c r="B135" s="1108"/>
      <c r="C135" s="1108"/>
      <c r="D135" s="1108"/>
      <c r="E135" s="1108"/>
      <c r="F135" s="1108"/>
      <c r="G135" s="1108"/>
      <c r="H135" s="1108"/>
      <c r="I135" s="1108"/>
      <c r="J135" s="1108"/>
      <c r="K135" s="1108"/>
      <c r="L135" s="1108"/>
      <c r="M135" s="1108"/>
      <c r="N135" s="1108"/>
    </row>
    <row r="136" spans="1:24" ht="13.5" thickBot="1">
      <c r="A136" s="1109"/>
      <c r="B136" s="1109"/>
      <c r="C136" s="1109"/>
      <c r="D136" s="1109"/>
      <c r="E136" s="1109"/>
      <c r="F136" s="1109"/>
      <c r="G136" s="1109"/>
      <c r="H136" s="1109"/>
      <c r="I136" s="1109"/>
      <c r="J136" s="1109"/>
      <c r="K136" s="1109"/>
      <c r="L136" s="1109"/>
      <c r="M136" s="1109"/>
      <c r="N136" s="1109"/>
      <c r="O136" s="133"/>
      <c r="P136" s="133"/>
      <c r="Q136" s="304"/>
      <c r="R136" s="304"/>
      <c r="S136" s="304"/>
      <c r="T136" s="304"/>
      <c r="U136" s="304"/>
      <c r="V136" s="304"/>
      <c r="W136" s="304"/>
      <c r="X136" s="304"/>
    </row>
    <row r="137" spans="1:24" ht="12.75">
      <c r="A137" s="891" t="s">
        <v>16</v>
      </c>
      <c r="B137" s="975"/>
      <c r="C137" s="875" t="s">
        <v>17</v>
      </c>
      <c r="D137" s="875"/>
      <c r="E137" s="875"/>
      <c r="F137" s="875"/>
      <c r="G137" s="875"/>
      <c r="H137" s="139" t="s">
        <v>18</v>
      </c>
      <c r="I137" s="875" t="s">
        <v>19</v>
      </c>
      <c r="J137" s="875"/>
      <c r="K137" s="875" t="s">
        <v>20</v>
      </c>
      <c r="L137" s="875"/>
      <c r="M137" s="139" t="s">
        <v>21</v>
      </c>
      <c r="N137" s="140" t="s">
        <v>22</v>
      </c>
      <c r="O137" s="185"/>
      <c r="P137" s="185"/>
      <c r="Q137" s="303"/>
      <c r="R137" s="303"/>
      <c r="S137" s="303"/>
      <c r="T137" s="303"/>
      <c r="U137" s="303"/>
      <c r="V137" s="303"/>
      <c r="W137" s="303"/>
      <c r="X137" s="303"/>
    </row>
    <row r="138" spans="1:24" ht="12.75" customHeight="1">
      <c r="A138" s="1160" t="s">
        <v>28</v>
      </c>
      <c r="B138" s="1161"/>
      <c r="C138" s="991" t="s">
        <v>82</v>
      </c>
      <c r="D138" s="991"/>
      <c r="E138" s="991"/>
      <c r="F138" s="991"/>
      <c r="G138" s="991"/>
      <c r="H138" s="877" t="s">
        <v>29</v>
      </c>
      <c r="I138" s="877" t="s">
        <v>589</v>
      </c>
      <c r="J138" s="877"/>
      <c r="K138" s="877" t="s">
        <v>77</v>
      </c>
      <c r="L138" s="877"/>
      <c r="M138" s="877" t="s">
        <v>583</v>
      </c>
      <c r="N138" s="978" t="s">
        <v>590</v>
      </c>
      <c r="O138" s="171"/>
      <c r="P138" s="171"/>
      <c r="Q138" s="171"/>
      <c r="R138" s="171"/>
      <c r="S138" s="171"/>
      <c r="T138" s="171"/>
      <c r="U138" s="171"/>
      <c r="V138" s="171"/>
      <c r="W138" s="171"/>
      <c r="X138" s="171"/>
    </row>
    <row r="139" spans="1:24" ht="12.75">
      <c r="A139" s="1162"/>
      <c r="B139" s="1051"/>
      <c r="C139" s="991"/>
      <c r="D139" s="991"/>
      <c r="E139" s="991"/>
      <c r="F139" s="991"/>
      <c r="G139" s="991"/>
      <c r="H139" s="877"/>
      <c r="I139" s="877"/>
      <c r="J139" s="877"/>
      <c r="K139" s="877"/>
      <c r="L139" s="877"/>
      <c r="M139" s="877"/>
      <c r="N139" s="978"/>
      <c r="O139" s="171"/>
      <c r="P139" s="171"/>
      <c r="Q139" s="171"/>
      <c r="R139" s="171"/>
      <c r="S139" s="171"/>
      <c r="T139" s="171"/>
      <c r="U139" s="171"/>
      <c r="V139" s="171"/>
      <c r="W139" s="171"/>
      <c r="X139" s="171"/>
    </row>
    <row r="140" spans="1:24" ht="12.75">
      <c r="A140" s="1162"/>
      <c r="B140" s="1051"/>
      <c r="C140" s="878" t="s">
        <v>409</v>
      </c>
      <c r="D140" s="878"/>
      <c r="E140" s="878"/>
      <c r="F140" s="878"/>
      <c r="G140" s="878"/>
      <c r="H140" s="877"/>
      <c r="I140" s="914" t="s">
        <v>356</v>
      </c>
      <c r="J140" s="914"/>
      <c r="K140" s="914" t="s">
        <v>287</v>
      </c>
      <c r="L140" s="914"/>
      <c r="M140" s="877"/>
      <c r="N140" s="873" t="s">
        <v>206</v>
      </c>
      <c r="O140" s="168"/>
      <c r="P140" s="168"/>
      <c r="Q140" s="168"/>
      <c r="R140" s="168"/>
      <c r="S140" s="168"/>
      <c r="T140" s="168"/>
      <c r="U140" s="168"/>
      <c r="V140" s="168"/>
      <c r="W140" s="168"/>
      <c r="X140" s="168"/>
    </row>
    <row r="141" spans="1:24" ht="12.75">
      <c r="A141" s="1052"/>
      <c r="B141" s="1052"/>
      <c r="C141" s="142" t="s">
        <v>83</v>
      </c>
      <c r="D141" s="142" t="s">
        <v>84</v>
      </c>
      <c r="E141" s="142" t="s">
        <v>275</v>
      </c>
      <c r="F141" s="142" t="s">
        <v>285</v>
      </c>
      <c r="G141" s="142" t="s">
        <v>286</v>
      </c>
      <c r="H141" s="877"/>
      <c r="I141" s="914"/>
      <c r="J141" s="914"/>
      <c r="K141" s="914"/>
      <c r="L141" s="914"/>
      <c r="M141" s="877"/>
      <c r="N141" s="873"/>
      <c r="O141" s="168"/>
      <c r="P141" s="168"/>
      <c r="Q141" s="168"/>
      <c r="R141" s="168"/>
      <c r="S141" s="168"/>
      <c r="T141" s="168"/>
      <c r="U141" s="168"/>
      <c r="V141" s="168"/>
      <c r="W141" s="168"/>
      <c r="X141" s="168"/>
    </row>
    <row r="142" spans="1:24" ht="12.75">
      <c r="A142" s="879" t="s">
        <v>31</v>
      </c>
      <c r="B142" s="982"/>
      <c r="C142" s="143" t="e">
        <f>IF($H$10="3ST","--",IF($H$10="4ST","--",(VLOOKUP($H$10,'Intersection Tables'!$P$9:$V$10,2,FALSE))))</f>
        <v>#N/A</v>
      </c>
      <c r="D142" s="143" t="e">
        <f>IF($H$10="3ST","--",IF($H$10="4ST","--",(VLOOKUP($H$10,'Intersection Tables'!$P$9:$V$10,3,FALSE))))</f>
        <v>#N/A</v>
      </c>
      <c r="E142" s="143" t="e">
        <f>IF($H$10="3ST","--",IF($H$10="4ST","--",(VLOOKUP($H$10,'Intersection Tables'!$P$9:$V$10,4,FALSE))))</f>
        <v>#N/A</v>
      </c>
      <c r="F142" s="143" t="e">
        <f>IF($H$10="3ST","--",IF($H$10="4ST","--",(VLOOKUP($H$10,'Intersection Tables'!$P$9:$V$10,5,FALSE))))</f>
        <v>#N/A</v>
      </c>
      <c r="G142" s="143" t="e">
        <f>IF($H$10="3ST","--",IF($H$10="4ST","--",(VLOOKUP($H$10,'Intersection Tables'!$P$9:$V$10,6,FALSE))))</f>
        <v>#N/A</v>
      </c>
      <c r="H142" s="143" t="e">
        <f>IF($H$10="3ST","--",IF($H$10="4ST","--",(VLOOKUP($H$10,'Intersection Tables'!$P$9:$V$10,7,FALSE))))</f>
        <v>#N/A</v>
      </c>
      <c r="I142" s="887" t="e">
        <f>IF($H$10="3ST","--",IF($H$10="4ST","--",EXP(+$C142+($D142*LN($H$11+H$12))+(E$142*LN($H$12/$H$11))+(F$142*LN($H$28))+(G$142*$H$29))))</f>
        <v>#N/A</v>
      </c>
      <c r="J142" s="950"/>
      <c r="K142" s="1067">
        <f>+$K$132</f>
        <v>1</v>
      </c>
      <c r="L142" s="1158"/>
      <c r="M142" s="143">
        <f>+$H$14</f>
        <v>1</v>
      </c>
      <c r="N142" s="145" t="e">
        <f>IF($H$10="3ST","--",IF($H$10="4ST","--",(I142*K142*M142)))</f>
        <v>#N/A</v>
      </c>
      <c r="O142" s="155"/>
      <c r="P142" s="155"/>
      <c r="Q142" s="155"/>
      <c r="R142" s="155"/>
      <c r="S142" s="155"/>
      <c r="T142" s="155"/>
      <c r="U142" s="155"/>
      <c r="V142" s="155"/>
      <c r="W142" s="155"/>
      <c r="X142" s="155"/>
    </row>
    <row r="143" spans="1:24" ht="13.5" thickBot="1">
      <c r="A143" s="907" t="s">
        <v>32</v>
      </c>
      <c r="B143" s="907"/>
      <c r="C143" s="191" t="s">
        <v>14</v>
      </c>
      <c r="D143" s="191" t="s">
        <v>14</v>
      </c>
      <c r="E143" s="191" t="s">
        <v>14</v>
      </c>
      <c r="F143" s="191" t="s">
        <v>14</v>
      </c>
      <c r="G143" s="191" t="s">
        <v>14</v>
      </c>
      <c r="H143" s="191" t="s">
        <v>14</v>
      </c>
      <c r="I143" s="1159" t="s">
        <v>14</v>
      </c>
      <c r="J143" s="980"/>
      <c r="K143" s="948" t="s">
        <v>14</v>
      </c>
      <c r="L143" s="949"/>
      <c r="M143" s="192">
        <f>+$H$14</f>
        <v>1</v>
      </c>
      <c r="N143" s="187" t="e">
        <f>N142</f>
        <v>#N/A</v>
      </c>
      <c r="O143" s="155"/>
      <c r="P143" s="155"/>
      <c r="Q143" s="155"/>
      <c r="R143" s="155"/>
      <c r="S143" s="155"/>
      <c r="T143" s="155"/>
      <c r="U143" s="155"/>
      <c r="V143" s="155"/>
      <c r="W143" s="155"/>
      <c r="X143" s="155"/>
    </row>
    <row r="146" spans="1:14" ht="12.75">
      <c r="A146" s="1108" t="s">
        <v>602</v>
      </c>
      <c r="B146" s="1108"/>
      <c r="C146" s="1108"/>
      <c r="D146" s="1108"/>
      <c r="E146" s="1108"/>
      <c r="F146" s="1108"/>
      <c r="G146" s="1108"/>
      <c r="H146" s="1108"/>
      <c r="I146" s="1108"/>
      <c r="J146" s="1108"/>
      <c r="K146" s="1108"/>
      <c r="L146" s="1108"/>
      <c r="M146" s="1108"/>
      <c r="N146" s="1108"/>
    </row>
    <row r="147" spans="1:24" ht="14.25" customHeight="1" thickBot="1">
      <c r="A147" s="1109"/>
      <c r="B147" s="1109"/>
      <c r="C147" s="1109"/>
      <c r="D147" s="1109"/>
      <c r="E147" s="1109"/>
      <c r="F147" s="1109"/>
      <c r="G147" s="1109"/>
      <c r="H147" s="1109"/>
      <c r="I147" s="1109"/>
      <c r="J147" s="1109"/>
      <c r="K147" s="1109"/>
      <c r="L147" s="1109"/>
      <c r="M147" s="1109"/>
      <c r="N147" s="1109"/>
      <c r="O147" s="134"/>
      <c r="P147" s="134"/>
      <c r="Q147" s="302"/>
      <c r="R147" s="302"/>
      <c r="S147" s="302"/>
      <c r="T147" s="302"/>
      <c r="U147" s="302"/>
      <c r="V147" s="302"/>
      <c r="W147" s="302"/>
      <c r="X147" s="302"/>
    </row>
    <row r="148" spans="1:24" ht="12.75">
      <c r="A148" s="891" t="s">
        <v>16</v>
      </c>
      <c r="B148" s="952"/>
      <c r="C148" s="952"/>
      <c r="D148" s="875" t="s">
        <v>17</v>
      </c>
      <c r="E148" s="875"/>
      <c r="F148" s="875" t="s">
        <v>18</v>
      </c>
      <c r="G148" s="875"/>
      <c r="H148" s="139" t="s">
        <v>19</v>
      </c>
      <c r="I148" s="875" t="s">
        <v>20</v>
      </c>
      <c r="J148" s="875"/>
      <c r="K148" s="875" t="s">
        <v>21</v>
      </c>
      <c r="L148" s="875"/>
      <c r="M148" s="875" t="s">
        <v>22</v>
      </c>
      <c r="N148" s="876"/>
      <c r="O148" s="185"/>
      <c r="P148" s="185"/>
      <c r="Q148" s="303"/>
      <c r="R148" s="303"/>
      <c r="S148" s="303"/>
      <c r="T148" s="303"/>
      <c r="U148" s="303"/>
      <c r="V148" s="303"/>
      <c r="W148" s="303"/>
      <c r="X148" s="303"/>
    </row>
    <row r="149" spans="1:24" ht="12.75" customHeight="1">
      <c r="A149" s="915" t="s">
        <v>28</v>
      </c>
      <c r="B149" s="977"/>
      <c r="C149" s="977"/>
      <c r="D149" s="917" t="s">
        <v>568</v>
      </c>
      <c r="E149" s="917"/>
      <c r="F149" s="917" t="s">
        <v>575</v>
      </c>
      <c r="G149" s="917"/>
      <c r="H149" s="877" t="s">
        <v>581</v>
      </c>
      <c r="I149" s="877" t="s">
        <v>591</v>
      </c>
      <c r="J149" s="877"/>
      <c r="K149" s="877" t="s">
        <v>583</v>
      </c>
      <c r="L149" s="877"/>
      <c r="M149" s="877" t="s">
        <v>592</v>
      </c>
      <c r="N149" s="978"/>
      <c r="O149" s="171"/>
      <c r="P149" s="171"/>
      <c r="Q149" s="171"/>
      <c r="R149" s="171"/>
      <c r="S149" s="171"/>
      <c r="T149" s="171"/>
      <c r="U149" s="171"/>
      <c r="V149" s="171"/>
      <c r="W149" s="171"/>
      <c r="X149" s="171"/>
    </row>
    <row r="150" spans="1:24" ht="12.75">
      <c r="A150" s="1018"/>
      <c r="B150" s="977"/>
      <c r="C150" s="977"/>
      <c r="D150" s="917"/>
      <c r="E150" s="917"/>
      <c r="F150" s="917"/>
      <c r="G150" s="917"/>
      <c r="H150" s="877"/>
      <c r="I150" s="877"/>
      <c r="J150" s="877"/>
      <c r="K150" s="877"/>
      <c r="L150" s="877"/>
      <c r="M150" s="877"/>
      <c r="N150" s="978"/>
      <c r="O150" s="171"/>
      <c r="P150" s="171"/>
      <c r="Q150" s="171"/>
      <c r="R150" s="171"/>
      <c r="S150" s="171"/>
      <c r="T150" s="171"/>
      <c r="U150" s="171"/>
      <c r="V150" s="171"/>
      <c r="W150" s="171"/>
      <c r="X150" s="171"/>
    </row>
    <row r="151" spans="1:24" ht="12.75">
      <c r="A151" s="1018"/>
      <c r="B151" s="977"/>
      <c r="C151" s="977"/>
      <c r="D151" s="914" t="s">
        <v>279</v>
      </c>
      <c r="E151" s="914"/>
      <c r="F151" s="914" t="s">
        <v>280</v>
      </c>
      <c r="G151" s="914"/>
      <c r="H151" s="914" t="s">
        <v>585</v>
      </c>
      <c r="I151" s="914" t="s">
        <v>410</v>
      </c>
      <c r="J151" s="880"/>
      <c r="K151" s="914"/>
      <c r="L151" s="914"/>
      <c r="M151" s="914" t="s">
        <v>206</v>
      </c>
      <c r="N151" s="873"/>
      <c r="O151" s="168"/>
      <c r="P151" s="168"/>
      <c r="Q151" s="168"/>
      <c r="R151" s="168"/>
      <c r="S151" s="168"/>
      <c r="T151" s="168"/>
      <c r="U151" s="168"/>
      <c r="V151" s="168"/>
      <c r="W151" s="168"/>
      <c r="X151" s="168"/>
    </row>
    <row r="152" spans="1:24" ht="12.75">
      <c r="A152" s="1018"/>
      <c r="B152" s="977"/>
      <c r="C152" s="977"/>
      <c r="D152" s="914"/>
      <c r="E152" s="914"/>
      <c r="F152" s="914"/>
      <c r="G152" s="914"/>
      <c r="H152" s="914"/>
      <c r="I152" s="878"/>
      <c r="J152" s="880"/>
      <c r="K152" s="914"/>
      <c r="L152" s="914"/>
      <c r="M152" s="914"/>
      <c r="N152" s="873"/>
      <c r="O152" s="168"/>
      <c r="P152" s="168"/>
      <c r="Q152" s="168"/>
      <c r="R152" s="168"/>
      <c r="S152" s="168"/>
      <c r="T152" s="168"/>
      <c r="U152" s="168"/>
      <c r="V152" s="168"/>
      <c r="W152" s="168"/>
      <c r="X152" s="168"/>
    </row>
    <row r="153" spans="1:24" ht="12.75">
      <c r="A153" s="879" t="s">
        <v>31</v>
      </c>
      <c r="B153" s="880"/>
      <c r="C153" s="880"/>
      <c r="D153" s="887" t="e">
        <f>+$N$58</f>
        <v>#N/A</v>
      </c>
      <c r="E153" s="888"/>
      <c r="F153" s="927" t="e">
        <f>+$N$90</f>
        <v>#N/A</v>
      </c>
      <c r="G153" s="927"/>
      <c r="H153" s="144" t="e">
        <f>+D153+F153</f>
        <v>#N/A</v>
      </c>
      <c r="I153" s="1165">
        <f>IF(H10="3ST",0.016,IF(H10="3SG",0.011,IF(H10="4ST",0.018,0.015)))</f>
        <v>0.015</v>
      </c>
      <c r="J153" s="1166"/>
      <c r="K153" s="1067">
        <f>+$H$14</f>
        <v>1</v>
      </c>
      <c r="L153" s="888"/>
      <c r="M153" s="887" t="e">
        <f>+$H$153*$I$153*K153</f>
        <v>#N/A</v>
      </c>
      <c r="N153" s="1068"/>
      <c r="O153" s="155"/>
      <c r="P153" s="155"/>
      <c r="Q153" s="155"/>
      <c r="R153" s="155"/>
      <c r="S153" s="155"/>
      <c r="T153" s="155"/>
      <c r="U153" s="155"/>
      <c r="V153" s="155"/>
      <c r="W153" s="155"/>
      <c r="X153" s="155"/>
    </row>
    <row r="154" spans="1:24" ht="13.5" thickBot="1">
      <c r="A154" s="881" t="s">
        <v>110</v>
      </c>
      <c r="B154" s="882"/>
      <c r="C154" s="882"/>
      <c r="D154" s="948" t="s">
        <v>14</v>
      </c>
      <c r="E154" s="949"/>
      <c r="F154" s="948" t="s">
        <v>14</v>
      </c>
      <c r="G154" s="949"/>
      <c r="H154" s="190" t="s">
        <v>14</v>
      </c>
      <c r="I154" s="948" t="s">
        <v>14</v>
      </c>
      <c r="J154" s="949"/>
      <c r="K154" s="1037">
        <f>+$H$14</f>
        <v>1</v>
      </c>
      <c r="L154" s="949"/>
      <c r="M154" s="979" t="e">
        <f>+$H$153*$I$153*K154</f>
        <v>#N/A</v>
      </c>
      <c r="N154" s="1077"/>
      <c r="O154" s="155"/>
      <c r="P154" s="155"/>
      <c r="Q154" s="155"/>
      <c r="R154" s="155"/>
      <c r="S154" s="155"/>
      <c r="T154" s="155"/>
      <c r="U154" s="155"/>
      <c r="V154" s="155"/>
      <c r="W154" s="155"/>
      <c r="X154" s="155"/>
    </row>
    <row r="157" spans="1:14" ht="12.75">
      <c r="A157" s="1108" t="s">
        <v>603</v>
      </c>
      <c r="B157" s="1108"/>
      <c r="C157" s="1108"/>
      <c r="D157" s="1108"/>
      <c r="E157" s="1108"/>
      <c r="F157" s="1108"/>
      <c r="G157" s="1108"/>
      <c r="H157" s="1108"/>
      <c r="I157" s="1108"/>
      <c r="J157" s="1108"/>
      <c r="K157" s="1108"/>
      <c r="L157" s="1108"/>
      <c r="M157" s="1108"/>
      <c r="N157" s="1108"/>
    </row>
    <row r="158" spans="1:24" ht="13.5" thickBot="1">
      <c r="A158" s="1109"/>
      <c r="B158" s="1109"/>
      <c r="C158" s="1109"/>
      <c r="D158" s="1109"/>
      <c r="E158" s="1109"/>
      <c r="F158" s="1109"/>
      <c r="G158" s="1109"/>
      <c r="H158" s="1109"/>
      <c r="I158" s="1109"/>
      <c r="J158" s="1109"/>
      <c r="K158" s="1109"/>
      <c r="L158" s="1109"/>
      <c r="M158" s="1109"/>
      <c r="N158" s="1109"/>
      <c r="O158" s="133"/>
      <c r="P158" s="133"/>
      <c r="Q158" s="304"/>
      <c r="R158" s="304"/>
      <c r="S158" s="304"/>
      <c r="T158" s="304"/>
      <c r="U158" s="304"/>
      <c r="V158" s="304"/>
      <c r="W158" s="304"/>
      <c r="X158" s="304"/>
    </row>
    <row r="159" spans="1:24" ht="12.75">
      <c r="A159" s="923" t="s">
        <v>16</v>
      </c>
      <c r="B159" s="924"/>
      <c r="C159" s="924"/>
      <c r="D159" s="924"/>
      <c r="E159" s="924"/>
      <c r="F159" s="925" t="s">
        <v>17</v>
      </c>
      <c r="G159" s="925"/>
      <c r="H159" s="925"/>
      <c r="I159" s="925" t="s">
        <v>18</v>
      </c>
      <c r="J159" s="925"/>
      <c r="K159" s="925"/>
      <c r="L159" s="925" t="s">
        <v>19</v>
      </c>
      <c r="M159" s="925"/>
      <c r="N159" s="926"/>
      <c r="O159" s="185"/>
      <c r="P159" s="185"/>
      <c r="Q159" s="303"/>
      <c r="R159" s="303"/>
      <c r="S159" s="303"/>
      <c r="T159" s="303"/>
      <c r="U159" s="303"/>
      <c r="V159" s="303"/>
      <c r="W159" s="303"/>
      <c r="X159" s="303"/>
    </row>
    <row r="160" spans="1:24" ht="12.75">
      <c r="A160" s="1164" t="s">
        <v>46</v>
      </c>
      <c r="B160" s="992"/>
      <c r="C160" s="992"/>
      <c r="D160" s="992"/>
      <c r="E160" s="1140"/>
      <c r="F160" s="903" t="s">
        <v>110</v>
      </c>
      <c r="G160" s="903"/>
      <c r="H160" s="903"/>
      <c r="I160" s="903" t="s">
        <v>111</v>
      </c>
      <c r="J160" s="903"/>
      <c r="K160" s="903"/>
      <c r="L160" s="903" t="s">
        <v>31</v>
      </c>
      <c r="M160" s="903"/>
      <c r="N160" s="922"/>
      <c r="O160" s="147"/>
      <c r="P160" s="147"/>
      <c r="Q160" s="147"/>
      <c r="R160" s="147"/>
      <c r="S160" s="147"/>
      <c r="T160" s="147"/>
      <c r="U160" s="147"/>
      <c r="V160" s="147"/>
      <c r="W160" s="147"/>
      <c r="X160" s="147"/>
    </row>
    <row r="161" spans="1:24" ht="12.75">
      <c r="A161" s="994"/>
      <c r="B161" s="994"/>
      <c r="C161" s="994"/>
      <c r="D161" s="994"/>
      <c r="E161" s="1070"/>
      <c r="F161" s="930" t="s">
        <v>288</v>
      </c>
      <c r="G161" s="930"/>
      <c r="H161" s="930"/>
      <c r="I161" s="930" t="s">
        <v>290</v>
      </c>
      <c r="J161" s="930"/>
      <c r="K161" s="930"/>
      <c r="L161" s="930" t="s">
        <v>291</v>
      </c>
      <c r="M161" s="930"/>
      <c r="N161" s="959"/>
      <c r="O161" s="134"/>
      <c r="P161" s="134"/>
      <c r="Q161" s="302"/>
      <c r="R161" s="302"/>
      <c r="S161" s="302"/>
      <c r="T161" s="302"/>
      <c r="U161" s="302"/>
      <c r="V161" s="302"/>
      <c r="W161" s="302"/>
      <c r="X161" s="302"/>
    </row>
    <row r="162" spans="1:24" ht="12.75">
      <c r="A162" s="1150"/>
      <c r="B162" s="1150"/>
      <c r="C162" s="1150"/>
      <c r="D162" s="1150"/>
      <c r="E162" s="1033"/>
      <c r="F162" s="901" t="s">
        <v>289</v>
      </c>
      <c r="G162" s="901"/>
      <c r="H162" s="901"/>
      <c r="I162" s="957"/>
      <c r="J162" s="1006"/>
      <c r="K162" s="1029"/>
      <c r="L162" s="901" t="s">
        <v>289</v>
      </c>
      <c r="M162" s="901"/>
      <c r="N162" s="902"/>
      <c r="O162" s="134"/>
      <c r="P162" s="134"/>
      <c r="Q162" s="302"/>
      <c r="R162" s="302"/>
      <c r="S162" s="302"/>
      <c r="T162" s="302"/>
      <c r="U162" s="302"/>
      <c r="V162" s="302"/>
      <c r="W162" s="302"/>
      <c r="X162" s="302"/>
    </row>
    <row r="163" spans="1:24" ht="12.75">
      <c r="A163" s="934" t="s">
        <v>217</v>
      </c>
      <c r="B163" s="917"/>
      <c r="C163" s="917"/>
      <c r="D163" s="917"/>
      <c r="E163" s="917"/>
      <c r="F163" s="917"/>
      <c r="G163" s="917"/>
      <c r="H163" s="917"/>
      <c r="I163" s="917"/>
      <c r="J163" s="917"/>
      <c r="K163" s="917"/>
      <c r="L163" s="917"/>
      <c r="M163" s="917"/>
      <c r="N163" s="935"/>
      <c r="O163" s="147"/>
      <c r="P163" s="147"/>
      <c r="Q163" s="147"/>
      <c r="R163" s="147"/>
      <c r="S163" s="147"/>
      <c r="T163" s="147"/>
      <c r="U163" s="147"/>
      <c r="V163" s="147"/>
      <c r="W163" s="147"/>
      <c r="X163" s="147"/>
    </row>
    <row r="164" spans="1:24" ht="12.75">
      <c r="A164" s="879" t="s">
        <v>292</v>
      </c>
      <c r="B164" s="880"/>
      <c r="C164" s="880"/>
      <c r="D164" s="880"/>
      <c r="E164" s="880"/>
      <c r="F164" s="927" t="e">
        <f>+F75</f>
        <v>#N/A</v>
      </c>
      <c r="G164" s="878"/>
      <c r="H164" s="878"/>
      <c r="I164" s="927" t="e">
        <f>+J75</f>
        <v>#N/A</v>
      </c>
      <c r="J164" s="878"/>
      <c r="K164" s="878"/>
      <c r="L164" s="927" t="e">
        <f>+L75</f>
        <v>#N/A</v>
      </c>
      <c r="M164" s="878"/>
      <c r="N164" s="918"/>
      <c r="O164" s="133"/>
      <c r="P164" s="133"/>
      <c r="Q164" s="304"/>
      <c r="R164" s="304"/>
      <c r="S164" s="304"/>
      <c r="T164" s="304"/>
      <c r="U164" s="304"/>
      <c r="V164" s="304"/>
      <c r="W164" s="304"/>
      <c r="X164" s="304"/>
    </row>
    <row r="165" spans="1:24" ht="12.75">
      <c r="A165" s="879" t="s">
        <v>293</v>
      </c>
      <c r="B165" s="880"/>
      <c r="C165" s="880"/>
      <c r="D165" s="880"/>
      <c r="E165" s="880"/>
      <c r="F165" s="927" t="e">
        <f>+F76</f>
        <v>#N/A</v>
      </c>
      <c r="G165" s="878"/>
      <c r="H165" s="878"/>
      <c r="I165" s="927" t="e">
        <f>+J76</f>
        <v>#N/A</v>
      </c>
      <c r="J165" s="878"/>
      <c r="K165" s="878"/>
      <c r="L165" s="927" t="e">
        <f>+L76</f>
        <v>#N/A</v>
      </c>
      <c r="M165" s="878"/>
      <c r="N165" s="918"/>
      <c r="O165" s="133"/>
      <c r="P165" s="133"/>
      <c r="Q165" s="304"/>
      <c r="R165" s="304"/>
      <c r="S165" s="304"/>
      <c r="T165" s="304"/>
      <c r="U165" s="304"/>
      <c r="V165" s="304"/>
      <c r="W165" s="304"/>
      <c r="X165" s="304"/>
    </row>
    <row r="166" spans="1:29" ht="12.75">
      <c r="A166" s="879" t="s">
        <v>294</v>
      </c>
      <c r="B166" s="880"/>
      <c r="C166" s="880"/>
      <c r="D166" s="880"/>
      <c r="E166" s="880"/>
      <c r="F166" s="927" t="e">
        <f>+F77</f>
        <v>#N/A</v>
      </c>
      <c r="G166" s="878"/>
      <c r="H166" s="878"/>
      <c r="I166" s="927" t="e">
        <f>+J77</f>
        <v>#N/A</v>
      </c>
      <c r="J166" s="878"/>
      <c r="K166" s="878"/>
      <c r="L166" s="927" t="e">
        <f>+L77</f>
        <v>#N/A</v>
      </c>
      <c r="M166" s="878"/>
      <c r="N166" s="918"/>
      <c r="O166" s="133"/>
      <c r="P166" s="133"/>
      <c r="Q166" s="304"/>
      <c r="R166" s="304"/>
      <c r="S166" s="304"/>
      <c r="T166" s="304"/>
      <c r="U166" s="304"/>
      <c r="V166" s="304"/>
      <c r="W166" s="304"/>
      <c r="X166" s="304"/>
      <c r="Z166" s="138" t="s">
        <v>460</v>
      </c>
      <c r="AA166" s="138" t="s">
        <v>437</v>
      </c>
      <c r="AB166" s="176" t="e">
        <f>+L169</f>
        <v>#N/A</v>
      </c>
      <c r="AC166" s="138" t="s">
        <v>464</v>
      </c>
    </row>
    <row r="167" spans="1:29" ht="12.75">
      <c r="A167" s="905" t="s">
        <v>295</v>
      </c>
      <c r="B167" s="942"/>
      <c r="C167" s="942"/>
      <c r="D167" s="942"/>
      <c r="E167" s="942"/>
      <c r="F167" s="927" t="e">
        <f>+F78</f>
        <v>#N/A</v>
      </c>
      <c r="G167" s="878"/>
      <c r="H167" s="878"/>
      <c r="I167" s="927" t="e">
        <f>+J78</f>
        <v>#N/A</v>
      </c>
      <c r="J167" s="878"/>
      <c r="K167" s="878"/>
      <c r="L167" s="927" t="e">
        <f>+L78</f>
        <v>#N/A</v>
      </c>
      <c r="M167" s="878"/>
      <c r="N167" s="918"/>
      <c r="O167" s="133"/>
      <c r="P167" s="133"/>
      <c r="Q167" s="304"/>
      <c r="R167" s="304"/>
      <c r="S167" s="304"/>
      <c r="T167" s="304"/>
      <c r="U167" s="304"/>
      <c r="V167" s="304"/>
      <c r="W167" s="304"/>
      <c r="X167" s="304"/>
      <c r="AA167" s="138" t="s">
        <v>438</v>
      </c>
      <c r="AB167" s="176" t="e">
        <f>+F169</f>
        <v>#N/A</v>
      </c>
      <c r="AC167" s="138" t="s">
        <v>465</v>
      </c>
    </row>
    <row r="168" spans="1:29" ht="12.75">
      <c r="A168" s="905" t="s">
        <v>296</v>
      </c>
      <c r="B168" s="942"/>
      <c r="C168" s="942"/>
      <c r="D168" s="942"/>
      <c r="E168" s="942"/>
      <c r="F168" s="927" t="e">
        <f>+F79</f>
        <v>#N/A</v>
      </c>
      <c r="G168" s="878"/>
      <c r="H168" s="878"/>
      <c r="I168" s="927" t="e">
        <f>+J79</f>
        <v>#N/A</v>
      </c>
      <c r="J168" s="878"/>
      <c r="K168" s="878"/>
      <c r="L168" s="927" t="e">
        <f>+L79</f>
        <v>#N/A</v>
      </c>
      <c r="M168" s="878"/>
      <c r="N168" s="918"/>
      <c r="O168" s="133"/>
      <c r="P168" s="133"/>
      <c r="Q168" s="304"/>
      <c r="R168" s="304"/>
      <c r="S168" s="304"/>
      <c r="T168" s="304"/>
      <c r="U168" s="304"/>
      <c r="V168" s="304"/>
      <c r="W168" s="304"/>
      <c r="X168" s="304"/>
      <c r="AA168" s="138" t="s">
        <v>91</v>
      </c>
      <c r="AB168" s="176" t="e">
        <f>+I169</f>
        <v>#N/A</v>
      </c>
      <c r="AC168" s="138" t="s">
        <v>466</v>
      </c>
    </row>
    <row r="169" spans="1:24" ht="13.5" thickBot="1">
      <c r="A169" s="961" t="s">
        <v>226</v>
      </c>
      <c r="B169" s="962"/>
      <c r="C169" s="962"/>
      <c r="D169" s="962"/>
      <c r="E169" s="962"/>
      <c r="F169" s="928" t="e">
        <f>SUM(F164:H168)</f>
        <v>#N/A</v>
      </c>
      <c r="G169" s="929"/>
      <c r="H169" s="929"/>
      <c r="I169" s="928" t="e">
        <f>SUM(I164:K168)</f>
        <v>#N/A</v>
      </c>
      <c r="J169" s="929"/>
      <c r="K169" s="929"/>
      <c r="L169" s="928" t="e">
        <f>SUM(L164:N168)</f>
        <v>#N/A</v>
      </c>
      <c r="M169" s="929"/>
      <c r="N169" s="958"/>
      <c r="O169" s="133"/>
      <c r="P169" s="133"/>
      <c r="Q169" s="304"/>
      <c r="R169" s="304"/>
      <c r="S169" s="304"/>
      <c r="T169" s="304"/>
      <c r="U169" s="304"/>
      <c r="V169" s="304"/>
      <c r="W169" s="304"/>
      <c r="X169" s="304"/>
    </row>
    <row r="170" spans="1:29" ht="12.75">
      <c r="A170" s="931" t="s">
        <v>218</v>
      </c>
      <c r="B170" s="932"/>
      <c r="C170" s="932"/>
      <c r="D170" s="932"/>
      <c r="E170" s="932"/>
      <c r="F170" s="932"/>
      <c r="G170" s="932"/>
      <c r="H170" s="932"/>
      <c r="I170" s="932"/>
      <c r="J170" s="932"/>
      <c r="K170" s="932"/>
      <c r="L170" s="932"/>
      <c r="M170" s="932"/>
      <c r="N170" s="933"/>
      <c r="O170" s="147"/>
      <c r="P170" s="147"/>
      <c r="Q170" s="147"/>
      <c r="R170" s="147"/>
      <c r="S170" s="147"/>
      <c r="T170" s="147"/>
      <c r="U170" s="147"/>
      <c r="V170" s="147"/>
      <c r="W170" s="147"/>
      <c r="X170" s="147"/>
      <c r="Z170" s="138" t="s">
        <v>461</v>
      </c>
      <c r="AA170" s="138" t="s">
        <v>437</v>
      </c>
      <c r="AB170" s="176" t="e">
        <f>+L179</f>
        <v>#N/A</v>
      </c>
      <c r="AC170" s="138" t="s">
        <v>467</v>
      </c>
    </row>
    <row r="171" spans="1:29" ht="12.75">
      <c r="A171" s="905" t="s">
        <v>297</v>
      </c>
      <c r="B171" s="942"/>
      <c r="C171" s="942"/>
      <c r="D171" s="942"/>
      <c r="E171" s="942"/>
      <c r="F171" s="927" t="e">
        <f aca="true" t="shared" si="3" ref="F171:F176">+F107</f>
        <v>#N/A</v>
      </c>
      <c r="G171" s="878"/>
      <c r="H171" s="878"/>
      <c r="I171" s="927" t="e">
        <f aca="true" t="shared" si="4" ref="I171:I176">+J107</f>
        <v>#N/A</v>
      </c>
      <c r="J171" s="878"/>
      <c r="K171" s="878"/>
      <c r="L171" s="927" t="e">
        <f aca="true" t="shared" si="5" ref="L171:L176">+L107</f>
        <v>#N/A</v>
      </c>
      <c r="M171" s="878"/>
      <c r="N171" s="918"/>
      <c r="O171" s="133"/>
      <c r="P171" s="133"/>
      <c r="Q171" s="304"/>
      <c r="R171" s="304"/>
      <c r="S171" s="304"/>
      <c r="T171" s="304"/>
      <c r="U171" s="304"/>
      <c r="V171" s="304"/>
      <c r="W171" s="304"/>
      <c r="X171" s="304"/>
      <c r="AA171" s="138" t="s">
        <v>438</v>
      </c>
      <c r="AB171" s="176" t="e">
        <f>+F179</f>
        <v>#N/A</v>
      </c>
      <c r="AC171" s="138" t="s">
        <v>468</v>
      </c>
    </row>
    <row r="172" spans="1:29" ht="12.75">
      <c r="A172" s="905" t="s">
        <v>298</v>
      </c>
      <c r="B172" s="942"/>
      <c r="C172" s="942"/>
      <c r="D172" s="942"/>
      <c r="E172" s="942"/>
      <c r="F172" s="927" t="e">
        <f t="shared" si="3"/>
        <v>#N/A</v>
      </c>
      <c r="G172" s="878"/>
      <c r="H172" s="878"/>
      <c r="I172" s="927" t="e">
        <f t="shared" si="4"/>
        <v>#N/A</v>
      </c>
      <c r="J172" s="878"/>
      <c r="K172" s="878"/>
      <c r="L172" s="927" t="e">
        <f t="shared" si="5"/>
        <v>#N/A</v>
      </c>
      <c r="M172" s="878"/>
      <c r="N172" s="918"/>
      <c r="O172" s="133"/>
      <c r="P172" s="133"/>
      <c r="Q172" s="304"/>
      <c r="R172" s="304"/>
      <c r="S172" s="304"/>
      <c r="T172" s="304"/>
      <c r="U172" s="304"/>
      <c r="V172" s="304"/>
      <c r="W172" s="304"/>
      <c r="X172" s="304"/>
      <c r="AA172" s="138" t="s">
        <v>91</v>
      </c>
      <c r="AB172" s="176" t="e">
        <f>+I179</f>
        <v>#N/A</v>
      </c>
      <c r="AC172" s="138" t="s">
        <v>469</v>
      </c>
    </row>
    <row r="173" spans="1:24" ht="12.75">
      <c r="A173" s="905" t="s">
        <v>299</v>
      </c>
      <c r="B173" s="942"/>
      <c r="C173" s="942"/>
      <c r="D173" s="942"/>
      <c r="E173" s="942"/>
      <c r="F173" s="927" t="e">
        <f t="shared" si="3"/>
        <v>#N/A</v>
      </c>
      <c r="G173" s="878"/>
      <c r="H173" s="878"/>
      <c r="I173" s="927" t="e">
        <f t="shared" si="4"/>
        <v>#N/A</v>
      </c>
      <c r="J173" s="878"/>
      <c r="K173" s="878"/>
      <c r="L173" s="927" t="e">
        <f t="shared" si="5"/>
        <v>#N/A</v>
      </c>
      <c r="M173" s="878"/>
      <c r="N173" s="918"/>
      <c r="O173" s="133"/>
      <c r="P173" s="133"/>
      <c r="Q173" s="304"/>
      <c r="R173" s="304"/>
      <c r="S173" s="304"/>
      <c r="T173" s="304"/>
      <c r="U173" s="304"/>
      <c r="V173" s="304"/>
      <c r="W173" s="304"/>
      <c r="X173" s="304"/>
    </row>
    <row r="174" spans="1:29" ht="12.75">
      <c r="A174" s="905" t="s">
        <v>300</v>
      </c>
      <c r="B174" s="942"/>
      <c r="C174" s="942"/>
      <c r="D174" s="942"/>
      <c r="E174" s="942"/>
      <c r="F174" s="927" t="e">
        <f t="shared" si="3"/>
        <v>#N/A</v>
      </c>
      <c r="G174" s="878"/>
      <c r="H174" s="878"/>
      <c r="I174" s="927" t="e">
        <f t="shared" si="4"/>
        <v>#N/A</v>
      </c>
      <c r="J174" s="878"/>
      <c r="K174" s="878"/>
      <c r="L174" s="927" t="e">
        <f t="shared" si="5"/>
        <v>#N/A</v>
      </c>
      <c r="M174" s="878"/>
      <c r="N174" s="918"/>
      <c r="O174" s="133"/>
      <c r="P174" s="133"/>
      <c r="Q174" s="304"/>
      <c r="R174" s="304"/>
      <c r="S174" s="304"/>
      <c r="T174" s="304"/>
      <c r="U174" s="304"/>
      <c r="V174" s="304"/>
      <c r="W174" s="304"/>
      <c r="X174" s="304"/>
      <c r="Z174" s="138" t="s">
        <v>462</v>
      </c>
      <c r="AB174" s="176" t="e">
        <f>+N142</f>
        <v>#N/A</v>
      </c>
      <c r="AC174" s="138" t="s">
        <v>470</v>
      </c>
    </row>
    <row r="175" spans="1:29" ht="12.75">
      <c r="A175" s="905" t="s">
        <v>301</v>
      </c>
      <c r="B175" s="942"/>
      <c r="C175" s="942"/>
      <c r="D175" s="942"/>
      <c r="E175" s="942"/>
      <c r="F175" s="927" t="e">
        <f t="shared" si="3"/>
        <v>#N/A</v>
      </c>
      <c r="G175" s="878"/>
      <c r="H175" s="878"/>
      <c r="I175" s="927" t="e">
        <f t="shared" si="4"/>
        <v>#N/A</v>
      </c>
      <c r="J175" s="878"/>
      <c r="K175" s="878"/>
      <c r="L175" s="927" t="e">
        <f t="shared" si="5"/>
        <v>#N/A</v>
      </c>
      <c r="M175" s="878"/>
      <c r="N175" s="918"/>
      <c r="O175" s="133"/>
      <c r="P175" s="133"/>
      <c r="Q175" s="304"/>
      <c r="R175" s="304"/>
      <c r="S175" s="304"/>
      <c r="T175" s="304"/>
      <c r="U175" s="304"/>
      <c r="V175" s="304"/>
      <c r="W175" s="304"/>
      <c r="X175" s="304"/>
      <c r="Z175" s="138" t="s">
        <v>463</v>
      </c>
      <c r="AB175" s="176" t="e">
        <f>+M153</f>
        <v>#N/A</v>
      </c>
      <c r="AC175" s="138" t="s">
        <v>471</v>
      </c>
    </row>
    <row r="176" spans="1:24" ht="12.75">
      <c r="A176" s="905" t="s">
        <v>302</v>
      </c>
      <c r="B176" s="942"/>
      <c r="C176" s="942"/>
      <c r="D176" s="942"/>
      <c r="E176" s="942"/>
      <c r="F176" s="927" t="e">
        <f t="shared" si="3"/>
        <v>#N/A</v>
      </c>
      <c r="G176" s="878"/>
      <c r="H176" s="878"/>
      <c r="I176" s="927" t="e">
        <f t="shared" si="4"/>
        <v>#N/A</v>
      </c>
      <c r="J176" s="878"/>
      <c r="K176" s="878"/>
      <c r="L176" s="927" t="e">
        <f t="shared" si="5"/>
        <v>#N/A</v>
      </c>
      <c r="M176" s="878"/>
      <c r="N176" s="918"/>
      <c r="O176" s="133"/>
      <c r="P176" s="133"/>
      <c r="Q176" s="304"/>
      <c r="R176" s="304"/>
      <c r="S176" s="304"/>
      <c r="T176" s="304"/>
      <c r="U176" s="304"/>
      <c r="V176" s="304"/>
      <c r="W176" s="304"/>
      <c r="X176" s="304"/>
    </row>
    <row r="177" spans="1:24" ht="12.75">
      <c r="A177" s="905" t="s">
        <v>303</v>
      </c>
      <c r="B177" s="942"/>
      <c r="C177" s="942"/>
      <c r="D177" s="942"/>
      <c r="E177" s="942"/>
      <c r="F177" s="927" t="e">
        <f>IF(H10="3ST",M123,IF(H10="4ST",M123,N143))</f>
        <v>#N/A</v>
      </c>
      <c r="G177" s="878"/>
      <c r="H177" s="878"/>
      <c r="I177" s="927">
        <v>0</v>
      </c>
      <c r="J177" s="927"/>
      <c r="K177" s="927"/>
      <c r="L177" s="927" t="e">
        <f>+F177+I177</f>
        <v>#N/A</v>
      </c>
      <c r="M177" s="878"/>
      <c r="N177" s="918"/>
      <c r="O177" s="133"/>
      <c r="P177" s="133"/>
      <c r="Q177" s="304"/>
      <c r="R177" s="304"/>
      <c r="S177" s="304"/>
      <c r="T177" s="304"/>
      <c r="U177" s="304"/>
      <c r="V177" s="304"/>
      <c r="W177" s="304"/>
      <c r="X177" s="304"/>
    </row>
    <row r="178" spans="1:24" ht="12.75">
      <c r="A178" s="905" t="s">
        <v>304</v>
      </c>
      <c r="B178" s="942"/>
      <c r="C178" s="942"/>
      <c r="D178" s="942"/>
      <c r="E178" s="942"/>
      <c r="F178" s="998" t="e">
        <f>+M154</f>
        <v>#N/A</v>
      </c>
      <c r="G178" s="501"/>
      <c r="H178" s="501"/>
      <c r="I178" s="927">
        <v>0</v>
      </c>
      <c r="J178" s="927"/>
      <c r="K178" s="927"/>
      <c r="L178" s="927" t="e">
        <f>+F178+I178</f>
        <v>#N/A</v>
      </c>
      <c r="M178" s="878"/>
      <c r="N178" s="918"/>
      <c r="O178" s="133"/>
      <c r="P178" s="133"/>
      <c r="Q178" s="304"/>
      <c r="R178" s="304"/>
      <c r="S178" s="304"/>
      <c r="T178" s="304"/>
      <c r="U178" s="304"/>
      <c r="V178" s="304"/>
      <c r="W178" s="304"/>
      <c r="X178" s="304"/>
    </row>
    <row r="179" spans="1:24" ht="13.5" thickBot="1">
      <c r="A179" s="961" t="s">
        <v>226</v>
      </c>
      <c r="B179" s="962"/>
      <c r="C179" s="962"/>
      <c r="D179" s="962"/>
      <c r="E179" s="962"/>
      <c r="F179" s="928" t="e">
        <f>SUM(F171:H178)</f>
        <v>#N/A</v>
      </c>
      <c r="G179" s="929"/>
      <c r="H179" s="929"/>
      <c r="I179" s="928" t="e">
        <f>SUM(I171:K178)</f>
        <v>#N/A</v>
      </c>
      <c r="J179" s="929"/>
      <c r="K179" s="929"/>
      <c r="L179" s="928" t="e">
        <f>SUM(L171:N178)</f>
        <v>#N/A</v>
      </c>
      <c r="M179" s="929"/>
      <c r="N179" s="958"/>
      <c r="O179" s="133"/>
      <c r="P179" s="133"/>
      <c r="Q179" s="304"/>
      <c r="R179" s="304"/>
      <c r="S179" s="304"/>
      <c r="T179" s="304"/>
      <c r="U179" s="304"/>
      <c r="V179" s="304"/>
      <c r="W179" s="304"/>
      <c r="X179" s="304"/>
    </row>
    <row r="180" spans="1:24" ht="13.5" thickBot="1">
      <c r="A180" s="1065" t="s">
        <v>31</v>
      </c>
      <c r="B180" s="1066"/>
      <c r="C180" s="1066"/>
      <c r="D180" s="1066"/>
      <c r="E180" s="1066"/>
      <c r="F180" s="954" t="e">
        <f>+F169+F179</f>
        <v>#N/A</v>
      </c>
      <c r="G180" s="955"/>
      <c r="H180" s="955"/>
      <c r="I180" s="954" t="e">
        <f>+I169+I179</f>
        <v>#N/A</v>
      </c>
      <c r="J180" s="955"/>
      <c r="K180" s="955"/>
      <c r="L180" s="954" t="e">
        <f>+L169+L179</f>
        <v>#N/A</v>
      </c>
      <c r="M180" s="955"/>
      <c r="N180" s="960"/>
      <c r="O180" s="133"/>
      <c r="P180" s="133"/>
      <c r="Q180" s="304"/>
      <c r="R180" s="304"/>
      <c r="S180" s="304"/>
      <c r="T180" s="304"/>
      <c r="U180" s="304"/>
      <c r="V180" s="304"/>
      <c r="W180" s="304"/>
      <c r="X180" s="304"/>
    </row>
    <row r="183" spans="3:12" ht="12.75">
      <c r="C183" s="1108" t="s">
        <v>604</v>
      </c>
      <c r="D183" s="1108"/>
      <c r="E183" s="1108"/>
      <c r="F183" s="1108"/>
      <c r="G183" s="1108"/>
      <c r="H183" s="1108"/>
      <c r="I183" s="1108"/>
      <c r="J183" s="1108"/>
      <c r="K183" s="1108"/>
      <c r="L183" s="1108"/>
    </row>
    <row r="184" spans="3:12" ht="13.5" thickBot="1">
      <c r="C184" s="1109"/>
      <c r="D184" s="1109"/>
      <c r="E184" s="1109"/>
      <c r="F184" s="1109"/>
      <c r="G184" s="1109"/>
      <c r="H184" s="1109"/>
      <c r="I184" s="1109"/>
      <c r="J184" s="1109"/>
      <c r="K184" s="1109"/>
      <c r="L184" s="1109"/>
    </row>
    <row r="185" spans="3:12" ht="12.75">
      <c r="C185" s="1112" t="s">
        <v>16</v>
      </c>
      <c r="D185" s="1112"/>
      <c r="E185" s="1112"/>
      <c r="F185" s="1112"/>
      <c r="G185" s="891"/>
      <c r="H185" s="1112" t="s">
        <v>17</v>
      </c>
      <c r="I185" s="1112"/>
      <c r="J185" s="1112"/>
      <c r="K185" s="1112"/>
      <c r="L185" s="1112"/>
    </row>
    <row r="186" spans="3:12" ht="13.15" customHeight="1">
      <c r="C186" s="868" t="s">
        <v>38</v>
      </c>
      <c r="D186" s="868"/>
      <c r="E186" s="868"/>
      <c r="F186" s="868"/>
      <c r="G186" s="1115"/>
      <c r="H186" s="868" t="s">
        <v>593</v>
      </c>
      <c r="I186" s="868"/>
      <c r="J186" s="868"/>
      <c r="K186" s="868"/>
      <c r="L186" s="868"/>
    </row>
    <row r="187" spans="3:12" ht="12.75">
      <c r="C187" s="870"/>
      <c r="D187" s="870"/>
      <c r="E187" s="870"/>
      <c r="F187" s="870"/>
      <c r="G187" s="1116"/>
      <c r="H187" s="870"/>
      <c r="I187" s="870"/>
      <c r="J187" s="870"/>
      <c r="K187" s="870"/>
      <c r="L187" s="870"/>
    </row>
    <row r="188" spans="3:12" ht="12.75">
      <c r="C188" s="872"/>
      <c r="D188" s="872"/>
      <c r="E188" s="872"/>
      <c r="F188" s="872"/>
      <c r="G188" s="1117"/>
      <c r="H188" s="872"/>
      <c r="I188" s="872"/>
      <c r="J188" s="872"/>
      <c r="K188" s="872"/>
      <c r="L188" s="872"/>
    </row>
    <row r="189" spans="3:12" ht="12.75">
      <c r="C189" s="1099"/>
      <c r="D189" s="1099"/>
      <c r="E189" s="1099"/>
      <c r="F189" s="1099"/>
      <c r="G189" s="888"/>
      <c r="H189" s="1099" t="s">
        <v>305</v>
      </c>
      <c r="I189" s="1099"/>
      <c r="J189" s="1099"/>
      <c r="K189" s="1099"/>
      <c r="L189" s="1099"/>
    </row>
    <row r="190" spans="3:12" ht="12.75">
      <c r="C190" s="1111" t="s">
        <v>31</v>
      </c>
      <c r="D190" s="1111"/>
      <c r="E190" s="1111"/>
      <c r="F190" s="1111"/>
      <c r="G190" s="1114"/>
      <c r="H190" s="1111" t="e">
        <f>+L180</f>
        <v>#N/A</v>
      </c>
      <c r="I190" s="1111"/>
      <c r="J190" s="1111"/>
      <c r="K190" s="1111"/>
      <c r="L190" s="1111"/>
    </row>
    <row r="191" spans="3:12" ht="12.75">
      <c r="C191" s="1111" t="s">
        <v>110</v>
      </c>
      <c r="D191" s="1111"/>
      <c r="E191" s="1111"/>
      <c r="F191" s="1111"/>
      <c r="G191" s="1114"/>
      <c r="H191" s="1111" t="e">
        <f>+F180</f>
        <v>#N/A</v>
      </c>
      <c r="I191" s="1111"/>
      <c r="J191" s="1111"/>
      <c r="K191" s="1111"/>
      <c r="L191" s="1111"/>
    </row>
    <row r="192" spans="3:12" ht="13.5" thickBot="1">
      <c r="C192" s="1110" t="s">
        <v>111</v>
      </c>
      <c r="D192" s="1110"/>
      <c r="E192" s="1110"/>
      <c r="F192" s="1110"/>
      <c r="G192" s="1113"/>
      <c r="H192" s="1110" t="e">
        <f>+I180</f>
        <v>#N/A</v>
      </c>
      <c r="I192" s="1110"/>
      <c r="J192" s="1110"/>
      <c r="K192" s="1110"/>
      <c r="L192" s="1110"/>
    </row>
    <row r="194" ht="12.75">
      <c r="E194" s="193"/>
    </row>
    <row r="195" ht="13.5" thickBot="1">
      <c r="E195" s="193"/>
    </row>
    <row r="196" spans="3:12" ht="12.75">
      <c r="C196" s="1104" t="s">
        <v>720</v>
      </c>
      <c r="D196" s="1104"/>
      <c r="E196" s="1104"/>
      <c r="F196" s="1104"/>
      <c r="G196" s="1104"/>
      <c r="H196" s="1104"/>
      <c r="I196" s="1104"/>
      <c r="J196" s="1104"/>
      <c r="K196" s="1104"/>
      <c r="L196" s="1104"/>
    </row>
    <row r="197" spans="3:12" ht="13.5" customHeight="1" thickBot="1">
      <c r="C197" s="1105"/>
      <c r="D197" s="1105"/>
      <c r="E197" s="1105"/>
      <c r="F197" s="1105"/>
      <c r="G197" s="1105"/>
      <c r="H197" s="1105"/>
      <c r="I197" s="1105"/>
      <c r="J197" s="1105"/>
      <c r="K197" s="1105"/>
      <c r="L197" s="1105"/>
    </row>
    <row r="198" spans="3:12" ht="12.75">
      <c r="C198" s="895" t="s">
        <v>446</v>
      </c>
      <c r="D198" s="896" t="s">
        <v>423</v>
      </c>
      <c r="E198" s="543"/>
      <c r="F198" s="544"/>
      <c r="G198" s="896" t="s">
        <v>428</v>
      </c>
      <c r="H198" s="543"/>
      <c r="I198" s="544"/>
      <c r="J198" s="896" t="s">
        <v>429</v>
      </c>
      <c r="K198" s="543"/>
      <c r="L198" s="543"/>
    </row>
    <row r="199" spans="3:12" ht="13.5" thickBot="1">
      <c r="C199" s="895"/>
      <c r="D199" s="525" t="s">
        <v>420</v>
      </c>
      <c r="E199" s="526"/>
      <c r="F199" s="527"/>
      <c r="G199" s="525" t="s">
        <v>421</v>
      </c>
      <c r="H199" s="526"/>
      <c r="I199" s="527"/>
      <c r="J199" s="525" t="s">
        <v>422</v>
      </c>
      <c r="K199" s="526"/>
      <c r="L199" s="526"/>
    </row>
    <row r="200" spans="3:12" ht="38.25">
      <c r="C200" s="895"/>
      <c r="D200" s="126" t="s">
        <v>424</v>
      </c>
      <c r="E200" s="126" t="s">
        <v>425</v>
      </c>
      <c r="F200" s="126" t="s">
        <v>426</v>
      </c>
      <c r="G200" s="126" t="s">
        <v>424</v>
      </c>
      <c r="H200" s="126" t="s">
        <v>425</v>
      </c>
      <c r="I200" s="126" t="s">
        <v>426</v>
      </c>
      <c r="J200" s="126" t="s">
        <v>424</v>
      </c>
      <c r="K200" s="126" t="s">
        <v>427</v>
      </c>
      <c r="L200" s="194" t="s">
        <v>430</v>
      </c>
    </row>
    <row r="201" spans="3:12" ht="17.45" customHeight="1" thickBot="1">
      <c r="C201" s="895"/>
      <c r="D201" s="127" t="s">
        <v>496</v>
      </c>
      <c r="E201" s="127" t="s">
        <v>497</v>
      </c>
      <c r="F201" s="127"/>
      <c r="G201" s="127" t="s">
        <v>498</v>
      </c>
      <c r="H201" s="127" t="s">
        <v>499</v>
      </c>
      <c r="I201" s="127"/>
      <c r="J201" s="127" t="s">
        <v>500</v>
      </c>
      <c r="K201" s="127" t="s">
        <v>501</v>
      </c>
      <c r="L201" s="195"/>
    </row>
    <row r="202" spans="3:12" ht="13.5" customHeight="1">
      <c r="C202" s="511"/>
      <c r="D202" s="165" t="e">
        <f>ROUND(H190,1)</f>
        <v>#N/A</v>
      </c>
      <c r="E202" s="196">
        <f>IF('Project Information'!$F$11="Predicted &amp; Expected",ROUND(SUMIF('Urban Site Total'!$B$14:$C$37,$C$7,'Urban Site Total'!$L$14:$L$37)+L177+L178,1),0)</f>
        <v>0</v>
      </c>
      <c r="F202" s="196">
        <f>+IF('Project Information'!$F$11="Predicted &amp; Expected",(+ROUND(+IF(E202&gt;D202,E202-D202,0),1)),0)</f>
        <v>0</v>
      </c>
      <c r="G202" s="165" t="e">
        <f>ROUND(H191,1)</f>
        <v>#N/A</v>
      </c>
      <c r="H202" s="196">
        <f>IF('Project Information'!$F$11="Predicted &amp; Expected",+ROUND((+$E$202*$G$202/$D$202),1),0)</f>
        <v>0</v>
      </c>
      <c r="I202" s="196">
        <f>+IF('Project Information'!$F$11="Predicted &amp; Expected",(+ROUND(+IF(H202&gt;G202,H202-G202,0),1)),0)</f>
        <v>0</v>
      </c>
      <c r="J202" s="165" t="e">
        <f>ROUND(H192,1)</f>
        <v>#N/A</v>
      </c>
      <c r="K202" s="196">
        <f>IF('Project Information'!$F$11="Predicted &amp; Expected",+ROUND((+$E$202*$J$202/$D$202),1),0)</f>
        <v>0</v>
      </c>
      <c r="L202" s="196">
        <f>+IF('Project Information'!$F$11="Predicted &amp; Expected",(+ROUND(+IF(K202&gt;J202,K202-J202,0),1)),0)</f>
        <v>0</v>
      </c>
    </row>
    <row r="203" spans="3:12" ht="20.45" customHeight="1" thickBot="1">
      <c r="C203" s="894" t="s">
        <v>447</v>
      </c>
      <c r="D203" s="894"/>
      <c r="E203" s="894"/>
      <c r="F203" s="894"/>
      <c r="G203" s="894"/>
      <c r="H203" s="894"/>
      <c r="I203" s="894"/>
      <c r="J203" s="894"/>
      <c r="K203" s="894"/>
      <c r="L203" s="894"/>
    </row>
    <row r="204" spans="3:12" ht="12.75">
      <c r="C204" s="860" t="s">
        <v>719</v>
      </c>
      <c r="D204" s="860"/>
      <c r="E204" s="860"/>
      <c r="F204" s="860"/>
      <c r="G204" s="860"/>
      <c r="H204" s="860"/>
      <c r="I204" s="860"/>
      <c r="J204" s="860"/>
      <c r="K204" s="860"/>
      <c r="L204" s="860"/>
    </row>
  </sheetData>
  <mergeCells count="573">
    <mergeCell ref="M44:N45"/>
    <mergeCell ref="F37:G37"/>
    <mergeCell ref="C8:E8"/>
    <mergeCell ref="F8:G8"/>
    <mergeCell ref="H8:N8"/>
    <mergeCell ref="O8:Q8"/>
    <mergeCell ref="M46:N46"/>
    <mergeCell ref="I46:J46"/>
    <mergeCell ref="R1:W1"/>
    <mergeCell ref="F3:N3"/>
    <mergeCell ref="G43:H43"/>
    <mergeCell ref="A23:G23"/>
    <mergeCell ref="A32:G32"/>
    <mergeCell ref="G46:H46"/>
    <mergeCell ref="C46:D46"/>
    <mergeCell ref="F36:G36"/>
    <mergeCell ref="A34:D35"/>
    <mergeCell ref="A36:D37"/>
    <mergeCell ref="K44:L45"/>
    <mergeCell ref="I44:J45"/>
    <mergeCell ref="G44:H45"/>
    <mergeCell ref="E46:F46"/>
    <mergeCell ref="K43:L43"/>
    <mergeCell ref="A46:B46"/>
    <mergeCell ref="Y4:Z4"/>
    <mergeCell ref="A5:B5"/>
    <mergeCell ref="A6:B6"/>
    <mergeCell ref="A4:B4"/>
    <mergeCell ref="F4:G4"/>
    <mergeCell ref="F5:G5"/>
    <mergeCell ref="F6:G6"/>
    <mergeCell ref="F7:G7"/>
    <mergeCell ref="H6:N6"/>
    <mergeCell ref="H7:N7"/>
    <mergeCell ref="C4:E4"/>
    <mergeCell ref="C5:E5"/>
    <mergeCell ref="C6:E6"/>
    <mergeCell ref="C44:D45"/>
    <mergeCell ref="A26:G26"/>
    <mergeCell ref="A25:G25"/>
    <mergeCell ref="H37:I37"/>
    <mergeCell ref="K46:L46"/>
    <mergeCell ref="F35:G35"/>
    <mergeCell ref="H36:I36"/>
    <mergeCell ref="H35:I35"/>
    <mergeCell ref="H34:I34"/>
    <mergeCell ref="A22:G22"/>
    <mergeCell ref="I43:J43"/>
    <mergeCell ref="A44:B45"/>
    <mergeCell ref="E44:F45"/>
    <mergeCell ref="K59:K60"/>
    <mergeCell ref="L59:L60"/>
    <mergeCell ref="M59:M60"/>
    <mergeCell ref="N59:N60"/>
    <mergeCell ref="I60:J60"/>
    <mergeCell ref="A51:N52"/>
    <mergeCell ref="F53:G53"/>
    <mergeCell ref="C54:E55"/>
    <mergeCell ref="G48:H48"/>
    <mergeCell ref="E59:E60"/>
    <mergeCell ref="A59:B60"/>
    <mergeCell ref="C59:C60"/>
    <mergeCell ref="D59:D60"/>
    <mergeCell ref="I59:J59"/>
    <mergeCell ref="F58:G58"/>
    <mergeCell ref="F59:G60"/>
    <mergeCell ref="H59:H60"/>
    <mergeCell ref="A58:B58"/>
    <mergeCell ref="I58:J58"/>
    <mergeCell ref="A50:B50"/>
    <mergeCell ref="C53:E53"/>
    <mergeCell ref="A48:B48"/>
    <mergeCell ref="C48:D48"/>
    <mergeCell ref="L106:N106"/>
    <mergeCell ref="J103:K104"/>
    <mergeCell ref="L103:N104"/>
    <mergeCell ref="L85:L86"/>
    <mergeCell ref="M85:M88"/>
    <mergeCell ref="N85:N86"/>
    <mergeCell ref="A99:C99"/>
    <mergeCell ref="D99:E99"/>
    <mergeCell ref="F99:G99"/>
    <mergeCell ref="H99:I99"/>
    <mergeCell ref="J99:K99"/>
    <mergeCell ref="L99:N99"/>
    <mergeCell ref="A85:B89"/>
    <mergeCell ref="C88:C89"/>
    <mergeCell ref="D88:D89"/>
    <mergeCell ref="E88:E89"/>
    <mergeCell ref="K93:K94"/>
    <mergeCell ref="L93:L94"/>
    <mergeCell ref="M93:M94"/>
    <mergeCell ref="I53:J53"/>
    <mergeCell ref="C56:E56"/>
    <mergeCell ref="J106:K106"/>
    <mergeCell ref="M148:N148"/>
    <mergeCell ref="K143:L143"/>
    <mergeCell ref="I137:J137"/>
    <mergeCell ref="L74:N74"/>
    <mergeCell ref="I140:J141"/>
    <mergeCell ref="H106:I106"/>
    <mergeCell ref="I154:J154"/>
    <mergeCell ref="K154:L154"/>
    <mergeCell ref="M154:N154"/>
    <mergeCell ref="H128:J128"/>
    <mergeCell ref="K128:M128"/>
    <mergeCell ref="N91:N92"/>
    <mergeCell ref="I92:J92"/>
    <mergeCell ref="K91:K92"/>
    <mergeCell ref="L91:L92"/>
    <mergeCell ref="M91:M92"/>
    <mergeCell ref="A153:C153"/>
    <mergeCell ref="D153:E153"/>
    <mergeCell ref="F153:G153"/>
    <mergeCell ref="I153:J153"/>
    <mergeCell ref="K153:L153"/>
    <mergeCell ref="C140:G140"/>
    <mergeCell ref="A142:B142"/>
    <mergeCell ref="M153:N153"/>
    <mergeCell ref="N93:N94"/>
    <mergeCell ref="I148:J148"/>
    <mergeCell ref="K148:L148"/>
    <mergeCell ref="A149:C152"/>
    <mergeCell ref="H130:J130"/>
    <mergeCell ref="K129:M130"/>
    <mergeCell ref="B129:D129"/>
    <mergeCell ref="H131:J131"/>
    <mergeCell ref="K131:M131"/>
    <mergeCell ref="A148:C148"/>
    <mergeCell ref="D148:E148"/>
    <mergeCell ref="F148:G148"/>
    <mergeCell ref="K123:L123"/>
    <mergeCell ref="M123:N123"/>
    <mergeCell ref="B128:D128"/>
    <mergeCell ref="E128:G128"/>
    <mergeCell ref="L180:N180"/>
    <mergeCell ref="L177:N177"/>
    <mergeCell ref="A178:E178"/>
    <mergeCell ref="F178:H178"/>
    <mergeCell ref="A170:N170"/>
    <mergeCell ref="F176:H176"/>
    <mergeCell ref="L175:N175"/>
    <mergeCell ref="A180:E180"/>
    <mergeCell ref="F180:H180"/>
    <mergeCell ref="I180:K180"/>
    <mergeCell ref="F173:H173"/>
    <mergeCell ref="F174:H174"/>
    <mergeCell ref="I174:K174"/>
    <mergeCell ref="F171:H171"/>
    <mergeCell ref="I176:K176"/>
    <mergeCell ref="A175:E175"/>
    <mergeCell ref="I175:K175"/>
    <mergeCell ref="A172:E172"/>
    <mergeCell ref="I177:K177"/>
    <mergeCell ref="A171:E171"/>
    <mergeCell ref="A174:E174"/>
    <mergeCell ref="A177:E177"/>
    <mergeCell ref="F177:H177"/>
    <mergeCell ref="A179:E179"/>
    <mergeCell ref="F179:H179"/>
    <mergeCell ref="I179:K179"/>
    <mergeCell ref="I171:K171"/>
    <mergeCell ref="A154:C154"/>
    <mergeCell ref="D154:E154"/>
    <mergeCell ref="F154:G154"/>
    <mergeCell ref="A163:N163"/>
    <mergeCell ref="A164:E164"/>
    <mergeCell ref="F164:H164"/>
    <mergeCell ref="I164:K164"/>
    <mergeCell ref="L164:N164"/>
    <mergeCell ref="F162:H162"/>
    <mergeCell ref="L162:N162"/>
    <mergeCell ref="I162:K162"/>
    <mergeCell ref="F161:H161"/>
    <mergeCell ref="L179:N179"/>
    <mergeCell ref="A160:E162"/>
    <mergeCell ref="A166:E166"/>
    <mergeCell ref="F166:H166"/>
    <mergeCell ref="I166:K166"/>
    <mergeCell ref="I172:K172"/>
    <mergeCell ref="A173:E173"/>
    <mergeCell ref="L172:N172"/>
    <mergeCell ref="I173:K173"/>
    <mergeCell ref="A176:E176"/>
    <mergeCell ref="L161:N161"/>
    <mergeCell ref="L178:N178"/>
    <mergeCell ref="H4:N4"/>
    <mergeCell ref="H5:N5"/>
    <mergeCell ref="B130:D130"/>
    <mergeCell ref="E129:G129"/>
    <mergeCell ref="H129:J129"/>
    <mergeCell ref="E130:G130"/>
    <mergeCell ref="A137:B137"/>
    <mergeCell ref="C137:G137"/>
    <mergeCell ref="C138:G139"/>
    <mergeCell ref="A138:B141"/>
    <mergeCell ref="B131:D131"/>
    <mergeCell ref="E131:G131"/>
    <mergeCell ref="H138:H141"/>
    <mergeCell ref="B132:D132"/>
    <mergeCell ref="E132:G132"/>
    <mergeCell ref="H132:J132"/>
    <mergeCell ref="A123:C123"/>
    <mergeCell ref="D123:E123"/>
    <mergeCell ref="F123:G123"/>
    <mergeCell ref="H74:I74"/>
    <mergeCell ref="J74:K74"/>
    <mergeCell ref="C203:L203"/>
    <mergeCell ref="N138:N139"/>
    <mergeCell ref="I138:J139"/>
    <mergeCell ref="K138:L139"/>
    <mergeCell ref="K140:L141"/>
    <mergeCell ref="G199:I199"/>
    <mergeCell ref="J199:L199"/>
    <mergeCell ref="M138:M141"/>
    <mergeCell ref="L174:N174"/>
    <mergeCell ref="I168:K168"/>
    <mergeCell ref="L168:N168"/>
    <mergeCell ref="L176:N176"/>
    <mergeCell ref="L171:N171"/>
    <mergeCell ref="L173:N173"/>
    <mergeCell ref="F175:H175"/>
    <mergeCell ref="I143:J143"/>
    <mergeCell ref="N140:N141"/>
    <mergeCell ref="F172:H172"/>
    <mergeCell ref="C198:C202"/>
    <mergeCell ref="D198:F198"/>
    <mergeCell ref="G198:I198"/>
    <mergeCell ref="J198:L198"/>
    <mergeCell ref="D199:F199"/>
    <mergeCell ref="I178:K178"/>
    <mergeCell ref="A165:E165"/>
    <mergeCell ref="I169:K169"/>
    <mergeCell ref="A168:E168"/>
    <mergeCell ref="F168:H168"/>
    <mergeCell ref="A169:E169"/>
    <mergeCell ref="L166:N166"/>
    <mergeCell ref="A167:E167"/>
    <mergeCell ref="F167:H167"/>
    <mergeCell ref="I167:K167"/>
    <mergeCell ref="L167:N167"/>
    <mergeCell ref="F169:H169"/>
    <mergeCell ref="L169:N169"/>
    <mergeCell ref="F165:H165"/>
    <mergeCell ref="I165:K165"/>
    <mergeCell ref="L165:N165"/>
    <mergeCell ref="L159:N159"/>
    <mergeCell ref="F160:H160"/>
    <mergeCell ref="I160:K160"/>
    <mergeCell ref="L160:N160"/>
    <mergeCell ref="I161:K161"/>
    <mergeCell ref="A159:E159"/>
    <mergeCell ref="A143:B143"/>
    <mergeCell ref="K132:M132"/>
    <mergeCell ref="I142:J142"/>
    <mergeCell ref="F159:H159"/>
    <mergeCell ref="I159:K159"/>
    <mergeCell ref="D151:E152"/>
    <mergeCell ref="F151:G152"/>
    <mergeCell ref="H151:H152"/>
    <mergeCell ref="I151:J152"/>
    <mergeCell ref="M151:N152"/>
    <mergeCell ref="D149:E150"/>
    <mergeCell ref="F149:G150"/>
    <mergeCell ref="H149:H150"/>
    <mergeCell ref="M149:N150"/>
    <mergeCell ref="I149:J150"/>
    <mergeCell ref="K149:L152"/>
    <mergeCell ref="K142:L142"/>
    <mergeCell ref="K137:L137"/>
    <mergeCell ref="A122:C122"/>
    <mergeCell ref="D122:E122"/>
    <mergeCell ref="F122:G122"/>
    <mergeCell ref="I122:J122"/>
    <mergeCell ref="K122:L122"/>
    <mergeCell ref="M122:N122"/>
    <mergeCell ref="I123:J123"/>
    <mergeCell ref="M118:N119"/>
    <mergeCell ref="D120:E121"/>
    <mergeCell ref="F120:G121"/>
    <mergeCell ref="H120:H121"/>
    <mergeCell ref="I120:J121"/>
    <mergeCell ref="M120:N121"/>
    <mergeCell ref="A118:C121"/>
    <mergeCell ref="D118:E119"/>
    <mergeCell ref="F118:G119"/>
    <mergeCell ref="H118:H119"/>
    <mergeCell ref="I118:J119"/>
    <mergeCell ref="K118:L121"/>
    <mergeCell ref="A117:C117"/>
    <mergeCell ref="D117:E117"/>
    <mergeCell ref="F117:G117"/>
    <mergeCell ref="I117:J117"/>
    <mergeCell ref="K117:L117"/>
    <mergeCell ref="M117:N117"/>
    <mergeCell ref="A109:C109"/>
    <mergeCell ref="D109:E109"/>
    <mergeCell ref="F109:G109"/>
    <mergeCell ref="H109:I109"/>
    <mergeCell ref="J109:K109"/>
    <mergeCell ref="L109:N109"/>
    <mergeCell ref="A112:C112"/>
    <mergeCell ref="D112:E112"/>
    <mergeCell ref="F112:G112"/>
    <mergeCell ref="H112:I112"/>
    <mergeCell ref="J112:K112"/>
    <mergeCell ref="L112:N112"/>
    <mergeCell ref="A111:C111"/>
    <mergeCell ref="D111:E111"/>
    <mergeCell ref="F111:G111"/>
    <mergeCell ref="H111:I111"/>
    <mergeCell ref="J111:K111"/>
    <mergeCell ref="L111:N111"/>
    <mergeCell ref="A110:C110"/>
    <mergeCell ref="D110:E110"/>
    <mergeCell ref="F110:G110"/>
    <mergeCell ref="H110:I110"/>
    <mergeCell ref="J110:K110"/>
    <mergeCell ref="L110:N110"/>
    <mergeCell ref="A108:C108"/>
    <mergeCell ref="D108:E108"/>
    <mergeCell ref="F108:G108"/>
    <mergeCell ref="H108:I108"/>
    <mergeCell ref="J108:K108"/>
    <mergeCell ref="L108:N108"/>
    <mergeCell ref="A107:C107"/>
    <mergeCell ref="D107:E107"/>
    <mergeCell ref="F107:G107"/>
    <mergeCell ref="H107:I107"/>
    <mergeCell ref="J107:K107"/>
    <mergeCell ref="L107:N107"/>
    <mergeCell ref="A100:C104"/>
    <mergeCell ref="D100:E102"/>
    <mergeCell ref="F100:G102"/>
    <mergeCell ref="A106:C106"/>
    <mergeCell ref="D106:E106"/>
    <mergeCell ref="F106:G106"/>
    <mergeCell ref="A105:C105"/>
    <mergeCell ref="D105:E105"/>
    <mergeCell ref="F105:G105"/>
    <mergeCell ref="D103:E104"/>
    <mergeCell ref="H105:I105"/>
    <mergeCell ref="J105:K105"/>
    <mergeCell ref="L105:N105"/>
    <mergeCell ref="H100:I102"/>
    <mergeCell ref="J100:K102"/>
    <mergeCell ref="L100:N102"/>
    <mergeCell ref="F103:G104"/>
    <mergeCell ref="H103:I104"/>
    <mergeCell ref="A93:B94"/>
    <mergeCell ref="C93:C94"/>
    <mergeCell ref="D93:D94"/>
    <mergeCell ref="E93:E94"/>
    <mergeCell ref="F93:G94"/>
    <mergeCell ref="A90:B90"/>
    <mergeCell ref="F90:G90"/>
    <mergeCell ref="I90:J90"/>
    <mergeCell ref="A91:B92"/>
    <mergeCell ref="C91:C92"/>
    <mergeCell ref="D91:D92"/>
    <mergeCell ref="E91:E92"/>
    <mergeCell ref="F91:G92"/>
    <mergeCell ref="H91:H92"/>
    <mergeCell ref="I91:J91"/>
    <mergeCell ref="H93:H94"/>
    <mergeCell ref="I93:J93"/>
    <mergeCell ref="I94:J94"/>
    <mergeCell ref="C87:E87"/>
    <mergeCell ref="K87:K88"/>
    <mergeCell ref="L87:L88"/>
    <mergeCell ref="N87:N88"/>
    <mergeCell ref="A79:C79"/>
    <mergeCell ref="D79:E79"/>
    <mergeCell ref="F79:G79"/>
    <mergeCell ref="H79:I79"/>
    <mergeCell ref="J79:K79"/>
    <mergeCell ref="L79:N79"/>
    <mergeCell ref="C85:E86"/>
    <mergeCell ref="F85:G86"/>
    <mergeCell ref="H85:H86"/>
    <mergeCell ref="I85:J88"/>
    <mergeCell ref="K85:K86"/>
    <mergeCell ref="F87:G89"/>
    <mergeCell ref="H87:H89"/>
    <mergeCell ref="A78:C78"/>
    <mergeCell ref="D78:E78"/>
    <mergeCell ref="F78:G78"/>
    <mergeCell ref="H78:I78"/>
    <mergeCell ref="J78:K78"/>
    <mergeCell ref="L78:N78"/>
    <mergeCell ref="A84:B84"/>
    <mergeCell ref="C84:E84"/>
    <mergeCell ref="F84:G84"/>
    <mergeCell ref="I84:J84"/>
    <mergeCell ref="A82:N83"/>
    <mergeCell ref="A77:C77"/>
    <mergeCell ref="D77:E77"/>
    <mergeCell ref="F77:G77"/>
    <mergeCell ref="H77:I77"/>
    <mergeCell ref="J77:K77"/>
    <mergeCell ref="L77:N77"/>
    <mergeCell ref="A76:C76"/>
    <mergeCell ref="D76:E76"/>
    <mergeCell ref="F76:G76"/>
    <mergeCell ref="H76:I76"/>
    <mergeCell ref="J76:K76"/>
    <mergeCell ref="L76:N76"/>
    <mergeCell ref="A75:C75"/>
    <mergeCell ref="D75:E75"/>
    <mergeCell ref="F75:G75"/>
    <mergeCell ref="H75:I75"/>
    <mergeCell ref="J75:K75"/>
    <mergeCell ref="L75:N75"/>
    <mergeCell ref="A68:C72"/>
    <mergeCell ref="D68:E70"/>
    <mergeCell ref="F68:G70"/>
    <mergeCell ref="A74:C74"/>
    <mergeCell ref="D74:E74"/>
    <mergeCell ref="F74:G74"/>
    <mergeCell ref="A73:C73"/>
    <mergeCell ref="D73:E73"/>
    <mergeCell ref="F73:G73"/>
    <mergeCell ref="D71:E72"/>
    <mergeCell ref="H73:I73"/>
    <mergeCell ref="J73:K73"/>
    <mergeCell ref="L73:N73"/>
    <mergeCell ref="H68:I70"/>
    <mergeCell ref="J68:K70"/>
    <mergeCell ref="L68:N70"/>
    <mergeCell ref="H54:H55"/>
    <mergeCell ref="F67:G67"/>
    <mergeCell ref="H67:I67"/>
    <mergeCell ref="J67:K67"/>
    <mergeCell ref="F71:G72"/>
    <mergeCell ref="H71:I72"/>
    <mergeCell ref="J71:K72"/>
    <mergeCell ref="L71:N72"/>
    <mergeCell ref="F61:G62"/>
    <mergeCell ref="H61:H62"/>
    <mergeCell ref="L67:N67"/>
    <mergeCell ref="A65:N66"/>
    <mergeCell ref="D67:E67"/>
    <mergeCell ref="A61:B62"/>
    <mergeCell ref="C61:C62"/>
    <mergeCell ref="A67:C67"/>
    <mergeCell ref="M61:M62"/>
    <mergeCell ref="N61:N62"/>
    <mergeCell ref="D61:D62"/>
    <mergeCell ref="I61:J61"/>
    <mergeCell ref="K61:K62"/>
    <mergeCell ref="L61:L62"/>
    <mergeCell ref="E61:E62"/>
    <mergeCell ref="I62:J62"/>
    <mergeCell ref="M43:N43"/>
    <mergeCell ref="M47:N47"/>
    <mergeCell ref="L54:L55"/>
    <mergeCell ref="M54:M57"/>
    <mergeCell ref="A54:B57"/>
    <mergeCell ref="I54:J57"/>
    <mergeCell ref="K54:K55"/>
    <mergeCell ref="F54:G55"/>
    <mergeCell ref="F56:G57"/>
    <mergeCell ref="H56:H57"/>
    <mergeCell ref="I47:J47"/>
    <mergeCell ref="E47:F47"/>
    <mergeCell ref="K56:K57"/>
    <mergeCell ref="N54:N57"/>
    <mergeCell ref="L56:L57"/>
    <mergeCell ref="K47:L47"/>
    <mergeCell ref="K48:L48"/>
    <mergeCell ref="I48:J48"/>
    <mergeCell ref="A53:B53"/>
    <mergeCell ref="M48:N48"/>
    <mergeCell ref="G47:H47"/>
    <mergeCell ref="C47:D47"/>
    <mergeCell ref="E48:F48"/>
    <mergeCell ref="A47:B47"/>
    <mergeCell ref="A8:B8"/>
    <mergeCell ref="A16:G16"/>
    <mergeCell ref="E43:F43"/>
    <mergeCell ref="A29:G29"/>
    <mergeCell ref="A28:G28"/>
    <mergeCell ref="A41:N42"/>
    <mergeCell ref="H27:K27"/>
    <mergeCell ref="L32:N32"/>
    <mergeCell ref="H32:K32"/>
    <mergeCell ref="H31:K31"/>
    <mergeCell ref="H30:K30"/>
    <mergeCell ref="H29:K29"/>
    <mergeCell ref="H28:K28"/>
    <mergeCell ref="F34:G34"/>
    <mergeCell ref="A17:G17"/>
    <mergeCell ref="A24:G24"/>
    <mergeCell ref="L16:N16"/>
    <mergeCell ref="A31:G31"/>
    <mergeCell ref="A20:G20"/>
    <mergeCell ref="A27:G27"/>
    <mergeCell ref="A21:G21"/>
    <mergeCell ref="A43:B43"/>
    <mergeCell ref="C43:D43"/>
    <mergeCell ref="A33:N33"/>
    <mergeCell ref="C185:G185"/>
    <mergeCell ref="C183:L184"/>
    <mergeCell ref="A10:G10"/>
    <mergeCell ref="A1:N2"/>
    <mergeCell ref="H19:K19"/>
    <mergeCell ref="H20:K20"/>
    <mergeCell ref="H21:K21"/>
    <mergeCell ref="H22:K22"/>
    <mergeCell ref="H23:K23"/>
    <mergeCell ref="H24:K24"/>
    <mergeCell ref="H25:K25"/>
    <mergeCell ref="H26:K26"/>
    <mergeCell ref="A9:G9"/>
    <mergeCell ref="A13:G13"/>
    <mergeCell ref="A11:D11"/>
    <mergeCell ref="A12:D12"/>
    <mergeCell ref="H10:K10"/>
    <mergeCell ref="H11:K11"/>
    <mergeCell ref="H12:K12"/>
    <mergeCell ref="H13:K13"/>
    <mergeCell ref="H14:K14"/>
    <mergeCell ref="H16:K16"/>
    <mergeCell ref="H17:K17"/>
    <mergeCell ref="H9:K9"/>
    <mergeCell ref="A30:G30"/>
    <mergeCell ref="C196:L197"/>
    <mergeCell ref="A18:N18"/>
    <mergeCell ref="A15:N15"/>
    <mergeCell ref="A3:E3"/>
    <mergeCell ref="A7:B7"/>
    <mergeCell ref="C7:E7"/>
    <mergeCell ref="A97:N98"/>
    <mergeCell ref="A115:N116"/>
    <mergeCell ref="B126:M127"/>
    <mergeCell ref="A135:N136"/>
    <mergeCell ref="A146:N147"/>
    <mergeCell ref="A157:N158"/>
    <mergeCell ref="H192:L192"/>
    <mergeCell ref="H191:L191"/>
    <mergeCell ref="H190:L190"/>
    <mergeCell ref="H189:L189"/>
    <mergeCell ref="H186:L188"/>
    <mergeCell ref="H185:L185"/>
    <mergeCell ref="C192:G192"/>
    <mergeCell ref="C191:G191"/>
    <mergeCell ref="C190:G190"/>
    <mergeCell ref="C189:G189"/>
    <mergeCell ref="C186:G188"/>
    <mergeCell ref="C204:L204"/>
    <mergeCell ref="A14:G14"/>
    <mergeCell ref="A19:G19"/>
    <mergeCell ref="O34:O37"/>
    <mergeCell ref="L9:N9"/>
    <mergeCell ref="L31:N31"/>
    <mergeCell ref="L30:N30"/>
    <mergeCell ref="L29:N29"/>
    <mergeCell ref="L28:N28"/>
    <mergeCell ref="L27:N27"/>
    <mergeCell ref="L26:N26"/>
    <mergeCell ref="L25:N25"/>
    <mergeCell ref="L24:N24"/>
    <mergeCell ref="L23:N23"/>
    <mergeCell ref="L22:N22"/>
    <mergeCell ref="L21:N21"/>
    <mergeCell ref="L20:N20"/>
    <mergeCell ref="L19:N19"/>
    <mergeCell ref="L17:N17"/>
    <mergeCell ref="L14:N14"/>
    <mergeCell ref="L13:N13"/>
    <mergeCell ref="L12:N12"/>
    <mergeCell ref="L11:N11"/>
    <mergeCell ref="L10:N10"/>
  </mergeCells>
  <conditionalFormatting sqref="H11">
    <cfRule type="cellIs" priority="25" dxfId="1" operator="greaterThan" stopIfTrue="1">
      <formula>$F$11</formula>
    </cfRule>
  </conditionalFormatting>
  <conditionalFormatting sqref="H12">
    <cfRule type="cellIs" priority="24" dxfId="1" operator="greaterThan" stopIfTrue="1">
      <formula>$F$12</formula>
    </cfRule>
  </conditionalFormatting>
  <conditionalFormatting sqref="O8">
    <cfRule type="cellIs" priority="1" dxfId="0" operator="equal">
      <formula>"Select whether or not ped volume is known"</formula>
    </cfRule>
  </conditionalFormatting>
  <dataValidations count="19">
    <dataValidation type="list" operator="greaterThanOrEqual" allowBlank="1" showInputMessage="1" showErrorMessage="1" sqref="H19:K19">
      <formula1>IF(OR(H10="3ST",H10="3SG"),$AB$27:$AB$30,$AB$27:$AB$31)</formula1>
    </dataValidation>
    <dataValidation type="list" operator="greaterThanOrEqual" allowBlank="1" showInputMessage="1" showErrorMessage="1" sqref="H20:K20">
      <formula1>IF(OR(H10="3ST",H10="3SG"),$AB$27:$AB$30,$AB$27:$AB$31)</formula1>
    </dataValidation>
    <dataValidation type="list" operator="greaterThanOrEqual" allowBlank="1" showInputMessage="1" showErrorMessage="1" sqref="H21:K21">
      <formula1>IF(OR(H10="3ST",H10="3SG"),$AB$27:$AB$30,$AB$27:$AB$31)</formula1>
    </dataValidation>
    <dataValidation type="list" operator="greaterThanOrEqual" allowBlank="1" showInputMessage="1" showErrorMessage="1" sqref="H25:K25">
      <formula1>IF(OR(H10="3ST",H10="3SG"),$AC$27,$AC$27:$AC$31)</formula1>
    </dataValidation>
    <dataValidation type="list" operator="greaterThanOrEqual" allowBlank="1" showInputMessage="1" showErrorMessage="1" sqref="H26:K26">
      <formula1>IF(H10="3SG",$AB$27:$AB$30,$AB$27:$AB$31)</formula1>
    </dataValidation>
    <dataValidation type="whole" allowBlank="1" showInputMessage="1" showErrorMessage="1" error="Invalid input. Acceptable range is  between 0 and the maximum AADT." sqref="H11:K12">
      <formula1>0</formula1>
      <formula2>F11*1.2</formula2>
    </dataValidation>
    <dataValidation type="list" allowBlank="1" showInputMessage="1" showErrorMessage="1" sqref="H13 H27 H31">
      <formula1>PresOrNot</formula1>
    </dataValidation>
    <dataValidation type="whole" operator="greaterThan" allowBlank="1" showInputMessage="1" showErrorMessage="1" sqref="O7 X7:Y8 P7:Q8">
      <formula1>1990</formula1>
    </dataValidation>
    <dataValidation type="list" operator="greaterThanOrEqual" allowBlank="1" showInputMessage="1" showErrorMessage="1" sqref="H16:H17">
      <formula1>UnsigApproach</formula1>
    </dataValidation>
    <dataValidation type="list" allowBlank="1" showInputMessage="1" showErrorMessage="1" sqref="AH6">
      <formula1>"Known, Not Known"</formula1>
    </dataValidation>
    <dataValidation type="list" operator="greaterThanOrEqual" allowBlank="1" showInputMessage="1" showErrorMessage="1" sqref="H30:K30">
      <formula1>"0, 1 or 2, 3 or more"</formula1>
    </dataValidation>
    <dataValidation type="list" operator="greaterThanOrEqual" allowBlank="1" showInputMessage="1" showErrorMessage="1" sqref="H32:K32">
      <formula1>"0,1 to 8,9 or more"</formula1>
    </dataValidation>
    <dataValidation allowBlank="1" showErrorMessage="1" promptTitle="Warning" prompt="The signalized intersection SPFs assume that there are some pedestrians present (value &gt; 0), so this input value should be a whole number of 1 or greater.  This field is not used for unsignalized intersections." sqref="L28:N28"/>
    <dataValidation type="list" operator="greaterThanOrEqual" allowBlank="1" showInputMessage="1" showErrorMessage="1" sqref="H22:K23">
      <formula1>$AC$28:$AC$31</formula1>
    </dataValidation>
    <dataValidation type="list" allowBlank="1" showInputMessage="1" showErrorMessage="1" sqref="H28:K28">
      <formula1>"3200,1500,700,240,50"</formula1>
    </dataValidation>
    <dataValidation type="list" operator="greaterThan" allowBlank="1" showInputMessage="1" showErrorMessage="1" sqref="H10:K10">
      <formula1>IF($C$8="Signalized",$AE$33:$AE$34,$AE$35:$AE$36)</formula1>
    </dataValidation>
    <dataValidation type="whole" allowBlank="1" showInputMessage="1" showErrorMessage="1" sqref="H29:K29">
      <formula1>IF(H28=0,0,1)</formula1>
      <formula2>IF(H28=0,0,15)</formula2>
    </dataValidation>
    <dataValidation type="list" operator="greaterThanOrEqual" allowBlank="1" showInputMessage="1" showErrorMessage="1" sqref="H24:K24">
      <formula1>$AC$27:$AC$31</formula1>
    </dataValidation>
    <dataValidation type="decimal" operator="greaterThanOrEqual" allowBlank="1" showInputMessage="1" showErrorMessage="1" sqref="H34:I37">
      <formula1>0</formula1>
    </dataValidation>
  </dataValidations>
  <printOptions/>
  <pageMargins left="0.88" right="0.29" top="0.79" bottom="0.75" header="0.3" footer="0.3"/>
  <pageSetup fitToHeight="4" horizontalDpi="600" verticalDpi="600" orientation="landscape" scale="65"/>
  <headerFooter>
    <oddFooter>&amp;C&amp;G&amp;R&amp;P</oddFooter>
  </headerFooter>
  <rowBreaks count="3" manualBreakCount="3">
    <brk id="48" max="16383" man="1"/>
    <brk id="96" max="16383" man="1"/>
    <brk id="154" max="16383" man="1"/>
  </rowBreaks>
  <ignoredErrors>
    <ignoredError sqref="A43 C43 E43 G43 I43 K43 M43 A53 C53 F53 H53:I53 K53:M53 A67 D67 F67 H67 J67 L67 A84 C84 F84 H84:I84 K84:N84 A99 D99 F99 H99 J99 L99 A117 D117 F117 H117:I117 K117 M117 B128 E128 H128 K128 A137 C137 H137:I137 K137 M137:N137 A148 D148 F148 H148:I148 K148 M148 A159 F159 I159 L159 H185 C185" numberStoredAsText="1"/>
    <ignoredError sqref="I164:I165 I171:I176 I166:I168" formula="1"/>
    <ignoredError sqref="H4:H6" evalError="1"/>
  </ignoredErrors>
  <drawing r:id="rId2"/>
  <legacyDrawing r:id="rId1"/>
  <legacyDrawingHF r:id="rId3"/>
</worksheet>
</file>

<file path=xl/worksheets/sheet9.xml><?xml version="1.0" encoding="utf-8"?>
<worksheet xmlns="http://schemas.openxmlformats.org/spreadsheetml/2006/main" xmlns:r="http://schemas.openxmlformats.org/officeDocument/2006/relationships">
  <sheetPr codeName="Sheet7">
    <pageSetUpPr fitToPage="1"/>
  </sheetPr>
  <dimension ref="A1:W20"/>
  <sheetViews>
    <sheetView zoomScalePageLayoutView="70" workbookViewId="0" topLeftCell="A1">
      <selection activeCell="A4" sqref="A4:B4"/>
    </sheetView>
  </sheetViews>
  <sheetFormatPr defaultColWidth="9.140625" defaultRowHeight="12.75"/>
  <cols>
    <col min="1" max="1" width="13.28125" style="128" customWidth="1"/>
    <col min="2" max="2" width="14.28125" style="128" customWidth="1"/>
    <col min="3" max="5" width="13.7109375" style="128" customWidth="1"/>
    <col min="6" max="7" width="12.28125" style="128" customWidth="1"/>
    <col min="8" max="10" width="13.7109375" style="128" customWidth="1"/>
    <col min="11" max="16384" width="9.140625" style="128" customWidth="1"/>
  </cols>
  <sheetData>
    <row r="1" spans="1:23" ht="13.5" thickBot="1">
      <c r="A1" s="1187" t="s">
        <v>638</v>
      </c>
      <c r="B1" s="1187"/>
      <c r="C1" s="1187"/>
      <c r="D1" s="1187"/>
      <c r="E1" s="1187"/>
      <c r="F1" s="1187"/>
      <c r="G1" s="1187"/>
      <c r="H1" s="1187"/>
      <c r="I1" s="1187"/>
      <c r="J1" s="1187"/>
      <c r="M1" s="552" t="s">
        <v>700</v>
      </c>
      <c r="N1" s="552"/>
      <c r="O1" s="552"/>
      <c r="P1" s="552"/>
      <c r="Q1" s="552"/>
      <c r="R1" s="552"/>
      <c r="S1" s="552"/>
      <c r="T1" s="552"/>
      <c r="U1" s="552"/>
      <c r="V1" s="552"/>
      <c r="W1" s="552"/>
    </row>
    <row r="2" spans="1:23" ht="14.25" thickBot="1" thickTop="1">
      <c r="A2" s="1188"/>
      <c r="B2" s="1188"/>
      <c r="C2" s="1188"/>
      <c r="D2" s="1188"/>
      <c r="E2" s="1188"/>
      <c r="F2" s="1188"/>
      <c r="G2" s="1188"/>
      <c r="H2" s="1188"/>
      <c r="I2" s="1188"/>
      <c r="J2" s="1188"/>
      <c r="M2" s="320"/>
      <c r="N2" s="321"/>
      <c r="O2" s="321"/>
      <c r="P2" s="321"/>
      <c r="Q2" s="321"/>
      <c r="R2" s="321"/>
      <c r="S2" s="321"/>
      <c r="T2" s="321"/>
      <c r="U2" s="321"/>
      <c r="V2" s="321"/>
      <c r="W2" s="322"/>
    </row>
    <row r="3" spans="1:23" ht="18.95" customHeight="1">
      <c r="A3" s="1189" t="s">
        <v>0</v>
      </c>
      <c r="B3" s="1189"/>
      <c r="C3" s="1189"/>
      <c r="D3" s="1189"/>
      <c r="E3" s="1189"/>
      <c r="F3" s="1189"/>
      <c r="G3" s="1189"/>
      <c r="H3" s="1189"/>
      <c r="I3" s="1189"/>
      <c r="J3" s="1189"/>
      <c r="M3" s="323"/>
      <c r="N3" s="324"/>
      <c r="O3" s="324"/>
      <c r="P3" s="324"/>
      <c r="Q3" s="324"/>
      <c r="R3" s="324"/>
      <c r="S3" s="324"/>
      <c r="T3" s="324"/>
      <c r="U3" s="324"/>
      <c r="V3" s="324"/>
      <c r="W3" s="325"/>
    </row>
    <row r="4" spans="1:23" s="138" customFormat="1" ht="15" customHeight="1">
      <c r="A4" s="995" t="s">
        <v>414</v>
      </c>
      <c r="B4" s="1017"/>
      <c r="C4" s="1090" t="str">
        <f>'Project Information'!B3</f>
        <v>Practical Case Study</v>
      </c>
      <c r="D4" s="1090"/>
      <c r="E4" s="1090"/>
      <c r="F4" s="1017" t="s">
        <v>1</v>
      </c>
      <c r="G4" s="1017"/>
      <c r="H4" s="1090" t="str">
        <f>'Project Information'!B6</f>
        <v>John Smith</v>
      </c>
      <c r="I4" s="1090"/>
      <c r="J4" s="1092"/>
      <c r="M4" s="323"/>
      <c r="N4" s="324"/>
      <c r="O4" s="324"/>
      <c r="P4" s="324"/>
      <c r="Q4" s="324"/>
      <c r="R4" s="324"/>
      <c r="S4" s="324"/>
      <c r="T4" s="324"/>
      <c r="U4" s="324"/>
      <c r="V4" s="324"/>
      <c r="W4" s="325"/>
    </row>
    <row r="5" spans="1:23" s="138" customFormat="1" ht="15" customHeight="1">
      <c r="A5" s="995" t="s">
        <v>415</v>
      </c>
      <c r="B5" s="1017"/>
      <c r="C5" s="1090" t="str">
        <f>'Project Information'!B4</f>
        <v>Three Signalized Intersections</v>
      </c>
      <c r="D5" s="1090"/>
      <c r="E5" s="1090"/>
      <c r="F5" s="1107" t="s">
        <v>418</v>
      </c>
      <c r="G5" s="1107"/>
      <c r="H5" s="1090" t="str">
        <f>'Project Information'!F3</f>
        <v>email</v>
      </c>
      <c r="I5" s="1090"/>
      <c r="J5" s="1092"/>
      <c r="M5" s="323"/>
      <c r="N5" s="324"/>
      <c r="O5" s="324"/>
      <c r="P5" s="324"/>
      <c r="Q5" s="324"/>
      <c r="R5" s="324"/>
      <c r="S5" s="324"/>
      <c r="T5" s="324"/>
      <c r="U5" s="324"/>
      <c r="V5" s="324"/>
      <c r="W5" s="325"/>
    </row>
    <row r="6" spans="1:23" s="138" customFormat="1" ht="15" customHeight="1">
      <c r="A6" s="995" t="s">
        <v>417</v>
      </c>
      <c r="B6" s="1017"/>
      <c r="C6" s="1181" t="str">
        <f>'Project Information'!B5</f>
        <v>STARS Report A-1</v>
      </c>
      <c r="D6" s="1181"/>
      <c r="E6" s="1181"/>
      <c r="F6" s="1107" t="s">
        <v>419</v>
      </c>
      <c r="G6" s="1107"/>
      <c r="H6" s="1182">
        <f>'Project Information'!F4</f>
        <v>1234567891</v>
      </c>
      <c r="I6" s="1182"/>
      <c r="J6" s="1183"/>
      <c r="M6" s="323"/>
      <c r="N6" s="324"/>
      <c r="O6" s="324"/>
      <c r="P6" s="324"/>
      <c r="Q6" s="324"/>
      <c r="R6" s="324"/>
      <c r="S6" s="324"/>
      <c r="T6" s="324"/>
      <c r="U6" s="324"/>
      <c r="V6" s="324"/>
      <c r="W6" s="325"/>
    </row>
    <row r="7" spans="1:23" s="138" customFormat="1" ht="15" customHeight="1">
      <c r="A7" s="995" t="s">
        <v>416</v>
      </c>
      <c r="B7" s="1017"/>
      <c r="C7" s="1181" t="str">
        <f>'Project Information'!B7</f>
        <v>ABC Company</v>
      </c>
      <c r="D7" s="1181"/>
      <c r="E7" s="1181"/>
      <c r="F7" s="1107" t="s">
        <v>3</v>
      </c>
      <c r="G7" s="1107"/>
      <c r="H7" s="1184">
        <f>'Project Information'!F5</f>
        <v>40675</v>
      </c>
      <c r="I7" s="1184"/>
      <c r="J7" s="1185"/>
      <c r="M7" s="323"/>
      <c r="N7" s="324"/>
      <c r="O7" s="324"/>
      <c r="P7" s="324"/>
      <c r="Q7" s="324"/>
      <c r="R7" s="324"/>
      <c r="S7" s="324"/>
      <c r="T7" s="324"/>
      <c r="U7" s="324"/>
      <c r="V7" s="324"/>
      <c r="W7" s="325"/>
    </row>
    <row r="8" spans="1:23" ht="12.95" customHeight="1">
      <c r="A8" s="1186"/>
      <c r="B8" s="1186"/>
      <c r="C8" s="246"/>
      <c r="D8" s="247"/>
      <c r="E8" s="247"/>
      <c r="F8" s="248"/>
      <c r="G8" s="248"/>
      <c r="H8" s="247"/>
      <c r="I8" s="247"/>
      <c r="J8" s="247"/>
      <c r="M8" s="323"/>
      <c r="N8" s="324"/>
      <c r="O8" s="324"/>
      <c r="P8" s="324"/>
      <c r="Q8" s="324"/>
      <c r="R8" s="324"/>
      <c r="S8" s="324"/>
      <c r="T8" s="324"/>
      <c r="U8" s="324"/>
      <c r="V8" s="324"/>
      <c r="W8" s="325"/>
    </row>
    <row r="9" spans="1:23" ht="12.95" customHeight="1">
      <c r="A9" s="249"/>
      <c r="B9" s="249"/>
      <c r="C9" s="246"/>
      <c r="D9" s="247"/>
      <c r="E9" s="247"/>
      <c r="F9" s="248"/>
      <c r="G9" s="248"/>
      <c r="H9" s="247"/>
      <c r="I9" s="247"/>
      <c r="J9" s="247"/>
      <c r="M9" s="323"/>
      <c r="N9" s="324"/>
      <c r="O9" s="324"/>
      <c r="P9" s="324"/>
      <c r="Q9" s="324"/>
      <c r="R9" s="324"/>
      <c r="S9" s="324"/>
      <c r="T9" s="324"/>
      <c r="U9" s="324"/>
      <c r="V9" s="324"/>
      <c r="W9" s="325"/>
    </row>
    <row r="10" spans="1:23" ht="18.95" customHeight="1">
      <c r="A10" s="1178" t="s">
        <v>4</v>
      </c>
      <c r="B10" s="1179"/>
      <c r="C10" s="1179"/>
      <c r="D10" s="1179"/>
      <c r="E10" s="1180"/>
      <c r="M10" s="323"/>
      <c r="N10" s="324"/>
      <c r="O10" s="324"/>
      <c r="P10" s="324"/>
      <c r="Q10" s="324"/>
      <c r="R10" s="324"/>
      <c r="S10" s="324"/>
      <c r="T10" s="324"/>
      <c r="U10" s="324"/>
      <c r="V10" s="324"/>
      <c r="W10" s="325"/>
    </row>
    <row r="11" spans="1:23" s="138" customFormat="1" ht="15" customHeight="1">
      <c r="A11" s="995" t="s">
        <v>636</v>
      </c>
      <c r="B11" s="1017"/>
      <c r="C11" s="1177">
        <v>2011</v>
      </c>
      <c r="D11" s="1177"/>
      <c r="E11" s="515"/>
      <c r="M11" s="326"/>
      <c r="N11" s="327"/>
      <c r="O11" s="327"/>
      <c r="P11" s="327"/>
      <c r="Q11" s="327"/>
      <c r="R11" s="327"/>
      <c r="S11" s="328"/>
      <c r="T11" s="328"/>
      <c r="U11" s="328"/>
      <c r="V11" s="329"/>
      <c r="W11" s="330"/>
    </row>
    <row r="12" spans="1:23" s="138" customFormat="1" ht="15" customHeight="1">
      <c r="A12" s="995" t="s">
        <v>637</v>
      </c>
      <c r="B12" s="1017"/>
      <c r="C12" s="1177">
        <v>1</v>
      </c>
      <c r="D12" s="1177"/>
      <c r="E12" s="515"/>
      <c r="M12" s="331"/>
      <c r="N12" s="332"/>
      <c r="O12" s="332"/>
      <c r="P12" s="332"/>
      <c r="Q12" s="333"/>
      <c r="R12" s="333"/>
      <c r="S12" s="334"/>
      <c r="T12" s="334"/>
      <c r="U12" s="334"/>
      <c r="V12" s="329"/>
      <c r="W12" s="330"/>
    </row>
    <row r="13" spans="1:23" s="138" customFormat="1" ht="15" customHeight="1">
      <c r="A13" s="995" t="s">
        <v>640</v>
      </c>
      <c r="B13" s="1017"/>
      <c r="C13" s="1175">
        <v>0.01</v>
      </c>
      <c r="D13" s="1175"/>
      <c r="E13" s="1176"/>
      <c r="M13" s="335"/>
      <c r="N13" s="329"/>
      <c r="O13" s="334"/>
      <c r="P13" s="329"/>
      <c r="Q13" s="329"/>
      <c r="R13" s="329"/>
      <c r="S13" s="334"/>
      <c r="T13" s="334"/>
      <c r="U13" s="334"/>
      <c r="V13" s="329"/>
      <c r="W13" s="330"/>
    </row>
    <row r="14" spans="1:23" s="138" customFormat="1" ht="15" customHeight="1">
      <c r="A14" s="235"/>
      <c r="B14" s="235"/>
      <c r="C14" s="254"/>
      <c r="D14" s="254"/>
      <c r="E14" s="254"/>
      <c r="M14" s="336"/>
      <c r="N14" s="337"/>
      <c r="O14" s="337"/>
      <c r="P14" s="337"/>
      <c r="Q14" s="337"/>
      <c r="R14" s="337"/>
      <c r="S14" s="338"/>
      <c r="T14" s="334"/>
      <c r="U14" s="338"/>
      <c r="V14" s="329"/>
      <c r="W14" s="330"/>
    </row>
    <row r="15" spans="1:23" s="138" customFormat="1" ht="15" customHeight="1">
      <c r="A15" s="238"/>
      <c r="B15" s="238"/>
      <c r="C15" s="255"/>
      <c r="D15" s="255"/>
      <c r="E15" s="255"/>
      <c r="M15" s="326"/>
      <c r="N15" s="327"/>
      <c r="O15" s="327"/>
      <c r="P15" s="327"/>
      <c r="Q15" s="327"/>
      <c r="R15" s="327"/>
      <c r="S15" s="328"/>
      <c r="T15" s="328"/>
      <c r="U15" s="328"/>
      <c r="V15" s="329"/>
      <c r="W15" s="330"/>
    </row>
    <row r="16" spans="1:23" s="138" customFormat="1" ht="15" customHeight="1">
      <c r="A16" s="238"/>
      <c r="B16" s="238"/>
      <c r="C16" s="255"/>
      <c r="D16" s="255"/>
      <c r="E16" s="255"/>
      <c r="M16" s="326"/>
      <c r="N16" s="327"/>
      <c r="O16" s="327"/>
      <c r="P16" s="327"/>
      <c r="Q16" s="327"/>
      <c r="R16" s="327"/>
      <c r="S16" s="328"/>
      <c r="T16" s="328"/>
      <c r="U16" s="328"/>
      <c r="V16" s="329"/>
      <c r="W16" s="330"/>
    </row>
    <row r="17" spans="1:23" s="138" customFormat="1" ht="15" customHeight="1" thickBot="1">
      <c r="A17" s="238"/>
      <c r="B17" s="238"/>
      <c r="C17" s="255"/>
      <c r="D17" s="255"/>
      <c r="E17" s="255"/>
      <c r="M17" s="339"/>
      <c r="N17" s="340"/>
      <c r="O17" s="340"/>
      <c r="P17" s="340"/>
      <c r="Q17" s="340"/>
      <c r="R17" s="340"/>
      <c r="S17" s="341"/>
      <c r="T17" s="341"/>
      <c r="U17" s="341"/>
      <c r="V17" s="342"/>
      <c r="W17" s="343"/>
    </row>
    <row r="18" spans="1:5" s="138" customFormat="1" ht="15" customHeight="1" thickTop="1">
      <c r="A18" s="238"/>
      <c r="B18" s="238"/>
      <c r="C18" s="255"/>
      <c r="D18" s="255"/>
      <c r="E18" s="255"/>
    </row>
    <row r="19" s="138" customFormat="1" ht="15" customHeight="1"/>
    <row r="20" s="138" customFormat="1" ht="15" customHeight="1">
      <c r="A20" s="252"/>
    </row>
    <row r="21" s="138" customFormat="1" ht="15" customHeight="1"/>
    <row r="22" s="138" customFormat="1" ht="15" customHeight="1"/>
    <row r="23" s="138" customFormat="1" ht="15" customHeight="1"/>
    <row r="24" ht="12.95" customHeight="1"/>
    <row r="25" ht="12.95" customHeight="1"/>
    <row r="26" ht="12.95" customHeight="1"/>
    <row r="27" ht="12.95" customHeight="1"/>
    <row r="28" ht="12.95" customHeight="1"/>
    <row r="29" ht="12.95" customHeight="1"/>
    <row r="30" ht="12.95" customHeight="1"/>
    <row r="31" ht="12.95" customHeight="1"/>
    <row r="32"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sheetData>
  <sheetProtection password="C3AC" sheet="1" objects="1" scenarios="1"/>
  <mergeCells count="27">
    <mergeCell ref="M1:W1"/>
    <mergeCell ref="A1:J2"/>
    <mergeCell ref="A3:J3"/>
    <mergeCell ref="A4:B4"/>
    <mergeCell ref="C4:E4"/>
    <mergeCell ref="F4:G4"/>
    <mergeCell ref="H4:J4"/>
    <mergeCell ref="A10:E10"/>
    <mergeCell ref="A5:B5"/>
    <mergeCell ref="C5:E5"/>
    <mergeCell ref="F5:G5"/>
    <mergeCell ref="H5:J5"/>
    <mergeCell ref="A6:B6"/>
    <mergeCell ref="C6:E6"/>
    <mergeCell ref="F6:G6"/>
    <mergeCell ref="H6:J6"/>
    <mergeCell ref="A7:B7"/>
    <mergeCell ref="C7:E7"/>
    <mergeCell ref="F7:G7"/>
    <mergeCell ref="H7:J7"/>
    <mergeCell ref="A8:B8"/>
    <mergeCell ref="A13:B13"/>
    <mergeCell ref="C13:E13"/>
    <mergeCell ref="A11:B11"/>
    <mergeCell ref="C11:E11"/>
    <mergeCell ref="A12:B12"/>
    <mergeCell ref="C12:E12"/>
  </mergeCells>
  <dataValidations count="1" disablePrompts="1">
    <dataValidation type="decimal" allowBlank="1" showInputMessage="1" showErrorMessage="1" sqref="C13">
      <formula1>0</formula1>
      <formula2>1</formula2>
    </dataValidation>
  </dataValidations>
  <printOptions/>
  <pageMargins left="0.7" right="0.7" top="0.75" bottom="0.75" header="0.3" footer="0.3"/>
  <pageSetup fitToHeight="0" fitToWidth="1" horizontalDpi="1200" verticalDpi="1200" orientation="landscape" scale="92"/>
  <headerFooter>
    <oddFooter>&amp;C&amp;G</oddFooter>
  </headerFooter>
  <colBreaks count="1" manualBreakCount="1">
    <brk id="10" max="16383"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Dixon</dc:creator>
  <cp:keywords/>
  <dc:description>Prepared for HSM Training -- NCHRP 17-38</dc:description>
  <cp:lastModifiedBy>Bradbury, Kate/SEA</cp:lastModifiedBy>
  <cp:lastPrinted>2011-10-27T23:48:27Z</cp:lastPrinted>
  <dcterms:created xsi:type="dcterms:W3CDTF">2009-11-22T21:24:43Z</dcterms:created>
  <dcterms:modified xsi:type="dcterms:W3CDTF">2011-12-13T16:39:12Z</dcterms:modified>
  <cp:category/>
  <cp:version/>
  <cp:contentType/>
  <cp:contentStatus/>
</cp:coreProperties>
</file>